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Anukriti\Downloads\"/>
    </mc:Choice>
  </mc:AlternateContent>
  <xr:revisionPtr revIDLastSave="0" documentId="8_{AC3097B0-B575-4293-84C0-73E4862E867C}" xr6:coauthVersionLast="46" xr6:coauthVersionMax="46" xr10:uidLastSave="{00000000-0000-0000-0000-000000000000}"/>
  <bookViews>
    <workbookView xWindow="384" yWindow="384" windowWidth="18528" windowHeight="11448" firstSheet="1" activeTab="2" xr2:uid="{00000000-000D-0000-FFFF-FFFF00000000}"/>
  </bookViews>
  <sheets>
    <sheet name="Community Local Grants " sheetId="3" r:id="rId1"/>
    <sheet name="Federal Grants+State Funding" sheetId="2" r:id="rId2"/>
    <sheet name="IIJA" sheetId="4" r:id="rId3"/>
  </sheets>
  <definedNames>
    <definedName name="_xlnm._FilterDatabase" localSheetId="0" hidden="1">'Community Local Grants '!$A$4:$J$4</definedName>
    <definedName name="_xlnm._FilterDatabase" localSheetId="1">'Federal Grants+State Funding'!$A$4:$I$4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gHDrmB+HwuRIZA2gk/rCX50CY9pw=="/>
    </ext>
  </extLst>
</workbook>
</file>

<file path=xl/calcChain.xml><?xml version="1.0" encoding="utf-8"?>
<calcChain xmlns="http://schemas.openxmlformats.org/spreadsheetml/2006/main">
  <c r="S275" i="4" l="1"/>
  <c r="S256" i="4"/>
  <c r="S249" i="4"/>
  <c r="S248" i="4"/>
  <c r="S247" i="4"/>
  <c r="S246" i="4"/>
  <c r="S214" i="4"/>
  <c r="S210" i="4"/>
  <c r="S208" i="4"/>
  <c r="S207" i="4"/>
  <c r="S206" i="4"/>
  <c r="S170" i="4"/>
  <c r="S168" i="4"/>
  <c r="S167" i="4"/>
  <c r="S165" i="4"/>
  <c r="S160" i="4"/>
  <c r="S157" i="4"/>
  <c r="S154" i="4"/>
  <c r="S149" i="4"/>
  <c r="S148" i="4"/>
  <c r="S147" i="4"/>
  <c r="S146" i="4"/>
  <c r="S145" i="4"/>
  <c r="S144" i="4"/>
  <c r="S143" i="4"/>
  <c r="S142" i="4"/>
  <c r="S119" i="4"/>
  <c r="S112" i="4"/>
  <c r="S102" i="4"/>
  <c r="S100" i="4"/>
  <c r="S99" i="4"/>
  <c r="S98" i="4"/>
  <c r="S89" i="4"/>
  <c r="S88" i="4"/>
  <c r="S76" i="4"/>
  <c r="Z69" i="4"/>
  <c r="S65" i="4"/>
  <c r="S62" i="4"/>
  <c r="S60" i="4"/>
  <c r="S57" i="4"/>
  <c r="S55" i="4"/>
  <c r="S54" i="4"/>
  <c r="S53" i="4"/>
  <c r="S52" i="4"/>
  <c r="S51" i="4"/>
  <c r="S48" i="4"/>
  <c r="S46" i="4"/>
  <c r="S45" i="4"/>
  <c r="S41" i="4"/>
  <c r="S38" i="4"/>
  <c r="S37" i="4"/>
  <c r="S35" i="4"/>
  <c r="S26" i="4"/>
  <c r="S24" i="4"/>
  <c r="S5" i="4"/>
  <c r="S3" i="4"/>
  <c r="C10" i="3"/>
  <c r="C39" i="3"/>
  <c r="C38" i="3"/>
  <c r="C36" i="3"/>
  <c r="C34" i="3"/>
  <c r="C32" i="3"/>
  <c r="C29" i="3"/>
  <c r="C28" i="3"/>
  <c r="C27" i="3"/>
  <c r="C26" i="3"/>
  <c r="C25" i="3"/>
  <c r="C22" i="3"/>
  <c r="C19" i="3"/>
  <c r="C18" i="3"/>
  <c r="C17" i="3"/>
  <c r="C16" i="3"/>
  <c r="C15" i="3"/>
  <c r="C14" i="3"/>
  <c r="C7" i="3"/>
</calcChain>
</file>

<file path=xl/sharedStrings.xml><?xml version="1.0" encoding="utf-8"?>
<sst xmlns="http://schemas.openxmlformats.org/spreadsheetml/2006/main" count="4006" uniqueCount="1406">
  <si>
    <t>Description</t>
  </si>
  <si>
    <t>Program Source</t>
  </si>
  <si>
    <t>Kaiser Permanente Grants</t>
  </si>
  <si>
    <t>$15,000-$200k, Project Previous Example/Info</t>
  </si>
  <si>
    <t xml:space="preserve">Submit LOI </t>
  </si>
  <si>
    <t>non-profit community</t>
  </si>
  <si>
    <t>Community Needs Health Assessment</t>
  </si>
  <si>
    <t>AARP Community Challenge Grant</t>
  </si>
  <si>
    <t>Award/Grant amount and Project Info</t>
  </si>
  <si>
    <t>AARP Apply Online</t>
  </si>
  <si>
    <t>mailto:communitychallenge@aarp.org</t>
  </si>
  <si>
    <t>AARP-American Assoc. of Retired Persons (non-profit) Organization</t>
  </si>
  <si>
    <t>Previous AARP Projects</t>
  </si>
  <si>
    <t>open annually</t>
  </si>
  <si>
    <t xml:space="preserve">$7,000 to $50,000k (unrestricted funds), Active Grants 2021 </t>
  </si>
  <si>
    <t>The Healy Foundation Grant Portal</t>
  </si>
  <si>
    <t>mailto:sgeary@billhealyfoundation.org</t>
  </si>
  <si>
    <t>non-profit community and scholarship grants</t>
  </si>
  <si>
    <t>Accept "LOI's" yearly for grants and scholarships (only in Hawaii and Oregon),</t>
  </si>
  <si>
    <t>CHANGE Grants</t>
  </si>
  <si>
    <t>$50,000k per non-profit organization, (Ex: Grants &amp; Scholoarships-Open Applications)</t>
  </si>
  <si>
    <t>RFP CHANGE Grants Info</t>
  </si>
  <si>
    <t>mailto:changegrants@hcf-hawaii.org</t>
  </si>
  <si>
    <t>Non-Profit Gateway (start application)</t>
  </si>
  <si>
    <t>Hawaii Pacific Health</t>
  </si>
  <si>
    <t>corporate and foundation giving to serve local communities</t>
  </si>
  <si>
    <t>$100,000k (matching funds), Campaign Projects 2020</t>
  </si>
  <si>
    <t>HPH Fundraising Application/Guidelines</t>
  </si>
  <si>
    <t>mailto:amanda.price@hawaiipacifichealth.org</t>
  </si>
  <si>
    <t>organization/ foundation gifting</t>
  </si>
  <si>
    <t>Fundraising Tool Kit</t>
  </si>
  <si>
    <t>February 1, 2021(Apr-May) and August 1, 2021 (Oct-Nov)</t>
  </si>
  <si>
    <t>$20,000k-100,000k, Current/past projects</t>
  </si>
  <si>
    <t>campbellfamilyfoundation.org</t>
  </si>
  <si>
    <t>mailto:keolal@jamescampbell.com</t>
  </si>
  <si>
    <t>Priority is given to programs located in or serving communities in the following areas
of West O‘ahu: Ewa/Ewa Beach, Kapolei,
Makakilo and the Wai‘anae Coast.</t>
  </si>
  <si>
    <t>Ward Village Foundation</t>
  </si>
  <si>
    <t>community residential improvement, youth education, Kupu Green Jobs Training Center</t>
  </si>
  <si>
    <t>$3,000k-$100,000k, Previous Grant Awards/Projects</t>
  </si>
  <si>
    <t xml:space="preserve">Hawaii Community Foundation </t>
  </si>
  <si>
    <t>need further information/contact person:Ward Village Main Office
808-591-8411</t>
  </si>
  <si>
    <t>30-Apr-20  @2pm</t>
  </si>
  <si>
    <t>Safe Routes to School Non-Infra (State DOT)</t>
  </si>
  <si>
    <t>seeking app.'s for SRTS Program</t>
  </si>
  <si>
    <t>$30,000k-$400,000k, SRTS Contract Awards</t>
  </si>
  <si>
    <t xml:space="preserve">Safe Routes to School </t>
  </si>
  <si>
    <t>mailto:tara.yi.lucas@hawaii.gov</t>
  </si>
  <si>
    <t>January 8, 2021 through April 1, 2021 and  July1, 2021 through October 1, 2021</t>
  </si>
  <si>
    <t>Atherton Family Foundation 2021</t>
  </si>
  <si>
    <t xml:space="preserve">arts, culture, and humanities; community development; education;
environment; health; human services; spiritual development; and youth development. </t>
  </si>
  <si>
    <t>$200,000-$500,000</t>
  </si>
  <si>
    <t>Application Procedures</t>
  </si>
  <si>
    <t>Elise von Dohlen</t>
  </si>
  <si>
    <t>non-profit corporation</t>
  </si>
  <si>
    <t>health/human services/education/diversity and inclusion</t>
  </si>
  <si>
    <t>1,000k-$2,500k</t>
  </si>
  <si>
    <t>Online Application Albertsons</t>
  </si>
  <si>
    <t>mailto:Christy.Duncan-Anderson@safeway.com</t>
  </si>
  <si>
    <t>Grant Guidelines</t>
  </si>
  <si>
    <t>February (e)nvironment</t>
  </si>
  <si>
    <t>April (e)</t>
  </si>
  <si>
    <t>susatainable communities, matching funds for community giving, volunteers, college funds</t>
  </si>
  <si>
    <t>$1,000-$5,000k</t>
  </si>
  <si>
    <t>3M Grant Guidelines</t>
  </si>
  <si>
    <t>Native Arts and Cultures-Native Hawaiian communities</t>
  </si>
  <si>
    <t>$920,000k</t>
  </si>
  <si>
    <t>Invitation Only-Current Opportunities Apply</t>
  </si>
  <si>
    <t>Ph: 1-212-573-5000</t>
  </si>
  <si>
    <t>Ford Foundation Grants Database</t>
  </si>
  <si>
    <t>equitable communities, family, children</t>
  </si>
  <si>
    <t>$100,000k-1million, Grants Database</t>
  </si>
  <si>
    <t>How to Apply</t>
  </si>
  <si>
    <t>mailto:conciergedesk@wkkf.org</t>
  </si>
  <si>
    <t>Grants Database</t>
  </si>
  <si>
    <t>community needs+fundraising events</t>
  </si>
  <si>
    <t>$20,000k-1m, Matson Community Conributions</t>
  </si>
  <si>
    <t>Ka Ipu Aina Application</t>
  </si>
  <si>
    <t>mailto:giving@matson.com</t>
  </si>
  <si>
    <t>charitable non-profit</t>
  </si>
  <si>
    <t>2021 Application Timeline</t>
  </si>
  <si>
    <t>healthy food +active living+child nutrition+equity building strategies</t>
  </si>
  <si>
    <t>$50,000-$200,000k, Current/past projects</t>
  </si>
  <si>
    <t>Online Grant Management System</t>
  </si>
  <si>
    <t>shannon.melluzzo@heart.org</t>
  </si>
  <si>
    <t>non-profit</t>
  </si>
  <si>
    <t>Eligibility</t>
  </si>
  <si>
    <t>Better Bike Share Mini-grants</t>
  </si>
  <si>
    <t>increasing access to and use of bike share in low-income or communities of color</t>
  </si>
  <si>
    <t>$1,800-$10,000k, Current/past projects</t>
  </si>
  <si>
    <t>Application URL</t>
  </si>
  <si>
    <t>Kiran Herbert</t>
  </si>
  <si>
    <t>Mini Grants 2021</t>
  </si>
  <si>
    <t xml:space="preserve">Safe Routes to Parks </t>
  </si>
  <si>
    <t>develop and initiate action plans to increase safe and equitable access to parks and green space in their communities.</t>
  </si>
  <si>
    <t>$12,500k+Technical Assistance, Current/past projects</t>
  </si>
  <si>
    <t>2021 Application SRTP Grant</t>
  </si>
  <si>
    <t>mailto:parks@saferoutespartnership.org</t>
  </si>
  <si>
    <t>Safe Routes to Parks Action Framework</t>
  </si>
  <si>
    <t>traffic safety/policy</t>
  </si>
  <si>
    <t>$50,000-$200,000k</t>
  </si>
  <si>
    <t>Road to Zero Grants 2019 (must be a coalition member*)</t>
  </si>
  <si>
    <t>mailto:RoadToZero@nsc.org</t>
  </si>
  <si>
    <t>coalition</t>
  </si>
  <si>
    <t>Road to Zero Priority Statement (submit)</t>
  </si>
  <si>
    <t>New Belgium</t>
  </si>
  <si>
    <t>bicycle advocacy; sustainable transportation</t>
  </si>
  <si>
    <t>$500-$5,000k</t>
  </si>
  <si>
    <t>Small Grants Details-Bicycle Advocacy</t>
  </si>
  <si>
    <t>mailto:nbbgives@newbelgium.com</t>
  </si>
  <si>
    <t>priority for grassroots community org's &amp; bike advocacy</t>
  </si>
  <si>
    <t>do not fund city, state, or county agencies</t>
  </si>
  <si>
    <t>FTA Grant Programs</t>
  </si>
  <si>
    <t>enhanced mobility of seniors and individuals with disabilities</t>
  </si>
  <si>
    <t>100% reimbursement</t>
  </si>
  <si>
    <t>FTA Grant Application</t>
  </si>
  <si>
    <t>grants availabilitiy vary.* see contact info* for more information</t>
  </si>
  <si>
    <t>arts, culture, creative strategies, development, housing for low-income families, health, environment</t>
  </si>
  <si>
    <t>$100,000-$1m, Grants database</t>
  </si>
  <si>
    <t>mailto:media@kresge.org</t>
  </si>
  <si>
    <t>Explore Recent Grants</t>
  </si>
  <si>
    <t xml:space="preserve">Current Funding Opportunities </t>
  </si>
  <si>
    <t>open summer applications in 2021 for 2022 award</t>
  </si>
  <si>
    <t>youth, lasting impact in communities</t>
  </si>
  <si>
    <t>$500-$1,500k</t>
  </si>
  <si>
    <t>Who can Apply?</t>
  </si>
  <si>
    <t>360 Adventure Challenge Contact info</t>
  </si>
  <si>
    <t>need more information to apply for 2022. **Application will be released in "Summer 2021"</t>
  </si>
  <si>
    <t>cash, product, &amp; gift card donation for event</t>
  </si>
  <si>
    <t>up to $1,000k, L.L. Bean-Club Fostered Community Grant</t>
  </si>
  <si>
    <t>must create application log-in</t>
  </si>
  <si>
    <t>mailto:donationrequest@llbean.com</t>
  </si>
  <si>
    <t>donation request*</t>
  </si>
  <si>
    <t>must fill out online application for more information and request approval</t>
  </si>
  <si>
    <t>building/improving multi-use trails</t>
  </si>
  <si>
    <t>$5,000-$30,000k, Current/past Projects</t>
  </si>
  <si>
    <t>Grant Application Worksheet</t>
  </si>
  <si>
    <t>mailto:grants@railstotrails.org</t>
  </si>
  <si>
    <t>Mailing list for future Grants</t>
  </si>
  <si>
    <t>environmental sustainability</t>
  </si>
  <si>
    <t>$25,000k, Bike Advocacy Groups- Current/past projects</t>
  </si>
  <si>
    <t>contact via email to nominate organization for award consideration</t>
  </si>
  <si>
    <t>mailto:info@planetbike.com</t>
  </si>
  <si>
    <t>https://www.planetbike.com/practice/</t>
  </si>
  <si>
    <t>supports bicycle advocacy</t>
  </si>
  <si>
    <t xml:space="preserve">Kokua Hawaii Foundation </t>
  </si>
  <si>
    <t xml:space="preserve">environmental education and resilience for keiki </t>
  </si>
  <si>
    <t>$200 per teacher, or $1,000 per school, Current/past projects</t>
  </si>
  <si>
    <t>Apply for KHF Project Grant</t>
  </si>
  <si>
    <t>mailto:grants@kokuahawaiifoundation.org</t>
  </si>
  <si>
    <t>KHF Project Grant Online Application</t>
  </si>
  <si>
    <t>Vista Outdoor Proposal</t>
  </si>
  <si>
    <t>conserve open space, promote child activity outdoors, expand access and opportunities for recreation in underserved communities</t>
  </si>
  <si>
    <t>$10,000k-$50,000k (amount calculated long-term up to 5 years)</t>
  </si>
  <si>
    <t>mailto:corporate.development@vistaoutdoor.com</t>
  </si>
  <si>
    <t>Purpose, Vision, Commitment</t>
  </si>
  <si>
    <t>Apr-Jul-Oct-(1st)-2021</t>
  </si>
  <si>
    <t>community need, sustainability of project, reasonable expenditure/income of project</t>
  </si>
  <si>
    <t>Up to $30,000k, Current/past awards</t>
  </si>
  <si>
    <t>Apply for a Grant</t>
  </si>
  <si>
    <t>mailto:claire.tarumoto@boh.com</t>
  </si>
  <si>
    <t xml:space="preserve">G.N. Wilcox Trust Program </t>
  </si>
  <si>
    <t>see BOH appliation for further requirements and elibilibilty</t>
  </si>
  <si>
    <t>Grantmaking Submission Deadlines</t>
  </si>
  <si>
    <t>Jul-12-2021, Aug-24-2021, Oct-5-2021</t>
  </si>
  <si>
    <t>Hawaii Community Foundation Grants+Scholarships</t>
  </si>
  <si>
    <t>project or program-based funding to nonprofit organizations benefitting the communities and people of Hawai‘i</t>
  </si>
  <si>
    <t>$3,000-10,000k (will not exceed 20k), RFP Community Grants Program</t>
  </si>
  <si>
    <t>Community Open Grants</t>
  </si>
  <si>
    <t>mailto:info@hcf-hawaii.org</t>
  </si>
  <si>
    <t xml:space="preserve">review open grants page for "open" grants </t>
  </si>
  <si>
    <t>Feb-Jun-Oct-(1st)-2021</t>
  </si>
  <si>
    <t>equitable/sustainable health, food,environment.  Support mid-size grassroots groups</t>
  </si>
  <si>
    <t>approx. $7,000k, Healthcare Grants-Grant Details</t>
  </si>
  <si>
    <t>Contact form</t>
  </si>
  <si>
    <t>family foundation</t>
  </si>
  <si>
    <t>About CLIF Family Foundation</t>
  </si>
  <si>
    <t>Jan-Apr-Jul-Oct-(1st)-2021</t>
  </si>
  <si>
    <t>Hawaii Electric Industries (HEI) Charitable Foundation</t>
  </si>
  <si>
    <t>community programs that promote environmental sustainability, community resilience, economic strength, and educational excellence</t>
  </si>
  <si>
    <t xml:space="preserve">$5,000-125k,HEI  Current/past awards </t>
  </si>
  <si>
    <t>HEI Grant Form</t>
  </si>
  <si>
    <t>mailto:heicf@hei.com.</t>
  </si>
  <si>
    <t>Charitable foundation</t>
  </si>
  <si>
    <t>Foundation Report</t>
  </si>
  <si>
    <t>open</t>
  </si>
  <si>
    <t>Housing modifications/repair projects for vulnerable and underserved populations (projects serving veterans or in response to disasters will receive priority)
Veteran service organization projects directly impacting the lives of veterans</t>
  </si>
  <si>
    <t>up to $5,000k</t>
  </si>
  <si>
    <t>mailto:THDF_CIG@homedepot.com</t>
  </si>
  <si>
    <t>foundation</t>
  </si>
  <si>
    <t>The Home Depot Foundation</t>
  </si>
  <si>
    <t>HMSA Foundation</t>
  </si>
  <si>
    <t>community health</t>
  </si>
  <si>
    <t>$15,000-$100,00k average</t>
  </si>
  <si>
    <t>Submit Contact info</t>
  </si>
  <si>
    <t xml:space="preserve">need more information to apply </t>
  </si>
  <si>
    <t>May-1 through April 30, 2021</t>
  </si>
  <si>
    <t>(varies)</t>
  </si>
  <si>
    <t>sustainable environment, community engagement</t>
  </si>
  <si>
    <t>$5,000k-$20,000k</t>
  </si>
  <si>
    <t>Corporate Grants</t>
  </si>
  <si>
    <t>mailto:cgsupport@cybergrants.com</t>
  </si>
  <si>
    <t>must submit proposal, "invite only" grant</t>
  </si>
  <si>
    <t>preservation of natural resources, environment, community needs, community based tourism projects</t>
  </si>
  <si>
    <t>up to $2million+, Previous Awardees</t>
  </si>
  <si>
    <t>RFP's</t>
  </si>
  <si>
    <t>mailto:Charlene@gohta.net</t>
  </si>
  <si>
    <t> HTA Strategic Plan 2020-2025</t>
  </si>
  <si>
    <t>Jun-14-21</t>
  </si>
  <si>
    <t>Jul-23-21</t>
  </si>
  <si>
    <t>People for Bikes (PFB)</t>
  </si>
  <si>
    <t>bicycle infrastructure proj's</t>
  </si>
  <si>
    <t>up to $10,000k</t>
  </si>
  <si>
    <t xml:space="preserve">PFB-Grant </t>
  </si>
  <si>
    <t>mailto:zoe@peopleforbikes.org</t>
  </si>
  <si>
    <t>non-profit/private</t>
  </si>
  <si>
    <t>Mar-31-21</t>
  </si>
  <si>
    <t>AAA Foundation for Traffic Safety</t>
  </si>
  <si>
    <t>AAA Foundation for Traffic Safety is a not-for-profit, publicly supported charitable research and education organization dedicated to saving lives by preventing traffic crashes and reducing injuries when crashes occur.</t>
  </si>
  <si>
    <t>up to $15,000 for traffic safety equipment</t>
  </si>
  <si>
    <t>AAA Traffic Safety Grant Apply</t>
  </si>
  <si>
    <t>mailto:rfp@aaafoundation.org</t>
  </si>
  <si>
    <t>not for profit</t>
  </si>
  <si>
    <t>request more info **</t>
  </si>
  <si>
    <t>Double the Donation</t>
  </si>
  <si>
    <t>volunteer/matching gift grant (corporation)</t>
  </si>
  <si>
    <t>Double the Donation (Volunteer Grant)</t>
  </si>
  <si>
    <t>GEICO Matching Gift Form</t>
  </si>
  <si>
    <t>contact: submit request</t>
  </si>
  <si>
    <t>matching gift through corporation/volunteer</t>
  </si>
  <si>
    <t>Double Donation knowlledge base</t>
  </si>
  <si>
    <t>Bike and Build</t>
  </si>
  <si>
    <t>affordable housing+ youth developmentt+cross country cycling trips</t>
  </si>
  <si>
    <t>$3,500k average</t>
  </si>
  <si>
    <t>Apply Financial Assistance</t>
  </si>
  <si>
    <t>info@bikeandbuild.org</t>
  </si>
  <si>
    <t>commmunity non-profit</t>
  </si>
  <si>
    <t xml:space="preserve">Bike and Build 2022 Application Participant </t>
  </si>
  <si>
    <t>Dec-28-2020</t>
  </si>
  <si>
    <t>Friends of Hawaii Charities</t>
  </si>
  <si>
    <t>fund local not-for profit org's for social services, health, impoverished communities</t>
  </si>
  <si>
    <t>$1.2 mil statewide organizations (2020), past charity beneficiaries</t>
  </si>
  <si>
    <t xml:space="preserve">Friends of Hawaii Grant </t>
  </si>
  <si>
    <t>friend@friendsofhawaii.org</t>
  </si>
  <si>
    <t>private/not for profit</t>
  </si>
  <si>
    <t>when is the next opening?) application has closed as of Dec-2020 for 2021</t>
  </si>
  <si>
    <t>Jul-19-2021</t>
  </si>
  <si>
    <t>Aug-20-21</t>
  </si>
  <si>
    <t>Charity Walk Hawaii</t>
  </si>
  <si>
    <t>funds non-profit county projects</t>
  </si>
  <si>
    <t>$5,000k-(depends), PATCH (past awardee)</t>
  </si>
  <si>
    <t>How to apply Charity Walk non-profit organization</t>
  </si>
  <si>
    <t>mailto:charitywalk@hawaiilodging.org</t>
  </si>
  <si>
    <t>community non-profit</t>
  </si>
  <si>
    <t>Statewide contact info</t>
  </si>
  <si>
    <t>Open Date</t>
  </si>
  <si>
    <t>Close Date</t>
  </si>
  <si>
    <t>Program Homepage</t>
  </si>
  <si>
    <t>Application Info</t>
  </si>
  <si>
    <t>Notes</t>
  </si>
  <si>
    <t>Jul-12-21</t>
  </si>
  <si>
    <t>RAISE (TIGER) Grant</t>
  </si>
  <si>
    <t>RAISE Grant-Apply</t>
  </si>
  <si>
    <t xml:space="preserve">Federal </t>
  </si>
  <si>
    <t>Raise Grant Webinars</t>
  </si>
  <si>
    <t>mailto:RAISEgrants@dot.gov</t>
  </si>
  <si>
    <t>Feb-17-21</t>
  </si>
  <si>
    <t>Mar-19-21</t>
  </si>
  <si>
    <t>INFRA (fka FASTLANE) Grant</t>
  </si>
  <si>
    <t>INFRA Grant-Apply</t>
  </si>
  <si>
    <t>INFRA Webinar (How To Apply)</t>
  </si>
  <si>
    <t>mailto:INFRAgrants@dot.gov</t>
  </si>
  <si>
    <r>
      <rPr>
        <b/>
        <sz val="12"/>
        <color theme="1"/>
        <rFont val="Arial Narrow"/>
        <family val="2"/>
      </rPr>
      <t>Paul Baumer</t>
    </r>
    <r>
      <rPr>
        <sz val="12"/>
        <color theme="1"/>
        <rFont val="Arial Narrow"/>
        <family val="2"/>
      </rPr>
      <t xml:space="preserve"> at (202) 366-1092</t>
    </r>
  </si>
  <si>
    <t>CMAQ</t>
  </si>
  <si>
    <t>Funds contribute to attainment/ maintenance of a national ambient air quality standard, with a high level of effectiveness in reducing air pollution, and that is included in  (MPO’s) current transportation plan and  (TIP) or the current state transportation improvement program (STIP) in areas without an MPO.</t>
  </si>
  <si>
    <t>mailto:Mark.Glaze@dot.gov</t>
  </si>
  <si>
    <t>HSIP</t>
  </si>
  <si>
    <t>The FAST Act continues the Highway Safety Improvement Program (HSIP) to achieve a significant reduction in traffic fatalities and serious injuries on all public roads, including non-State-owned public roads and roads on tribal lands.</t>
  </si>
  <si>
    <t>HDOT HSIP Grants Application Process and Timeline (see pg. 11)</t>
  </si>
  <si>
    <t>Motor Vehicle Safety Program Offices Contact Info (all islands)</t>
  </si>
  <si>
    <t>TAP</t>
  </si>
  <si>
    <t xml:space="preserve">local transportation safety programs and
any other local or regional governmental entity with responsibility for, or oversight of,
transportation or recreational trails </t>
  </si>
  <si>
    <t>TAP (page 1) Info</t>
  </si>
  <si>
    <t>mailto:TA.Program@hawaii.gov</t>
  </si>
  <si>
    <t>SRTS</t>
  </si>
  <si>
    <t>Enable and encourage children, including those with disabilities, to walk and bicycle to school;
Make bicycling and walking to school a safer and more appealing transportation alternative, thereby encouraging a healthy and active lifestyle from an early age; and
Facilitate the planning, development, and implementation of projects and activities that will improve safety and reduce traffic, fuel consumption, and air pollution in the vicinity of schools.</t>
  </si>
  <si>
    <t>SRTS Funding Info and Workshops</t>
  </si>
  <si>
    <t>mailto:saferoutestoschool@hawaii.gov</t>
  </si>
  <si>
    <t>This supplemental guidance is intended to help State Highway Safety Offices (SHSOs) administer the Highway Safety Grant Program in FY 2021 during the COVID-19 public health emergency. This guidance remains in effect until September 30, 2021.</t>
  </si>
  <si>
    <t>Laura Lott 
Ph: 808-432-5916</t>
  </si>
  <si>
    <t>Contact Info</t>
  </si>
  <si>
    <t>Grant Source</t>
  </si>
  <si>
    <t>Average Award Amount</t>
  </si>
  <si>
    <t>Spring/Fall</t>
  </si>
  <si>
    <t>Search for "annual" announcement 2021*Notice for application closed 04/2020</t>
  </si>
  <si>
    <t>Must register and log-in to apply*</t>
  </si>
  <si>
    <t>State funding</t>
  </si>
  <si>
    <t>community youth, education, Hawaiian cultural/arts scholarships</t>
  </si>
  <si>
    <t>"invitation only funder", no direct contact source</t>
  </si>
  <si>
    <t>Ph: 1-888-3M-HELPS</t>
  </si>
  <si>
    <r>
      <rPr>
        <b/>
        <sz val="12"/>
        <color theme="1"/>
        <rFont val="Arial Narrow"/>
        <family val="2"/>
      </rPr>
      <t>Statewide Transportation Planning Office</t>
    </r>
    <r>
      <rPr>
        <sz val="12"/>
        <color theme="1"/>
        <rFont val="Arial Narrow"/>
        <family val="2"/>
      </rPr>
      <t xml:space="preserve">
200 Rodgers Boulevard
Honolulu, Hawaii 96819
Attn:  Section 5310 Program
Fax: (808) 831-7995</t>
    </r>
  </si>
  <si>
    <t>Grants to Projects Bridge: Federal Grants</t>
  </si>
  <si>
    <t>Grants to Projects Bridge Homepage</t>
  </si>
  <si>
    <t>Grants to Projects Bridge: Community Local Grants</t>
  </si>
  <si>
    <t>Information accurate as of August 18, 2021.</t>
  </si>
  <si>
    <t>Event / Grant Homepage</t>
  </si>
  <si>
    <t>Email</t>
  </si>
  <si>
    <t>https://www.wardvillage.com/about/giving-back/#community</t>
  </si>
  <si>
    <t>This spreadsheet accompanies the Grants to Projects Bridge website and the Provenance Document.</t>
  </si>
  <si>
    <t>Community "health equity" grants, education, improve accessibility,Medicaid and Charity care programs</t>
  </si>
  <si>
    <t>"Quick action" grant program, i.e.: improve housing, transportation, public space, technology ("smart cities"), civic engagement</t>
  </si>
  <si>
    <t>Youth education and advocacy, childhood poverty, climate change mitigation, protection of ecosystems</t>
  </si>
  <si>
    <t>Community focused equitable solutions</t>
  </si>
  <si>
    <t xml:space="preserve">Discretionary grant program for transportation projects that demonstrate improvements to racial equity, reduce the impacts of climate change, and create good-paying jobs.  </t>
  </si>
  <si>
    <t>funding highway and rail projects of regional and national economic significance that position America to win the 21st century</t>
  </si>
  <si>
    <t>Jun-25-21</t>
  </si>
  <si>
    <t>FTA 5310 Program Manager
Statewide Transportation Planning Office
200 Rodgers Boulevard
Honolulu, Hawaii 96819
Ph: (808) 831-7987
Fax: (808) 831-7995</t>
  </si>
  <si>
    <t>49 U.S.C. 5310 Application</t>
  </si>
  <si>
    <t>FTA 5310 (ENHANCED MOBILITY OF SENIORS AND INDIVIDUALS WITH DISABILITIES)</t>
  </si>
  <si>
    <r>
      <t xml:space="preserve">The </t>
    </r>
    <r>
      <rPr>
        <b/>
        <sz val="12"/>
        <color theme="1"/>
        <rFont val="Arial Narrow"/>
        <family val="2"/>
      </rPr>
      <t>49. U.S.C. Section 5310 ("FTA 5310")</t>
    </r>
    <r>
      <rPr>
        <sz val="12"/>
        <color theme="1"/>
        <rFont val="Arial Narrow"/>
        <family val="2"/>
      </rPr>
      <t xml:space="preserve"> program provides assistance for the purpose of providing transportation services in meeting the special needs of elderly and disabled persons where mass transportation services are unavailable, insufficient, or inappropriate.</t>
    </r>
    <r>
      <rPr>
        <b/>
        <sz val="12"/>
        <color theme="1"/>
        <rFont val="Arial Narrow"/>
        <family val="2"/>
      </rPr>
      <t xml:space="preserve">The Section 5310 program provides several eligible uses that qualify for federal assistance. </t>
    </r>
  </si>
  <si>
    <t>49 U.S.C. 5310 Application Information</t>
  </si>
  <si>
    <t>mailto:dotpao@hawaii.gov</t>
  </si>
  <si>
    <t xml:space="preserve">mailto: Jan.higaki@hawaii.gov; Ph: 808-692-7685 </t>
  </si>
  <si>
    <t>SRTS County Coordinator Contact Information (see bottom of page)</t>
  </si>
  <si>
    <t>HNTSA 405</t>
  </si>
  <si>
    <t>HNTSA Apply (per requests made by regional office)</t>
  </si>
  <si>
    <t>mailto:Karen.G.Kahikina@hawaii.gov</t>
  </si>
  <si>
    <r>
      <rPr>
        <b/>
        <sz val="12"/>
        <color theme="1"/>
        <rFont val="Arial Narrow"/>
        <family val="2"/>
      </rPr>
      <t>Karen Kahikina</t>
    </r>
    <r>
      <rPr>
        <sz val="12"/>
        <color theme="1"/>
        <rFont val="Arial Narrow"/>
        <family val="2"/>
      </rPr>
      <t xml:space="preserve">
Hawaii Department of Transportation
Highway Safety Section
869 Punchbowl Street, Room 405
Honolulu, Hawaii 96813
Ph: (808) 587-2355
Fax: (808) 587-6303</t>
    </r>
  </si>
  <si>
    <r>
      <rPr>
        <b/>
        <sz val="12"/>
        <color theme="1"/>
        <rFont val="Arial Narrow"/>
        <family val="2"/>
      </rPr>
      <t xml:space="preserve">Tara Lucas                                </t>
    </r>
    <r>
      <rPr>
        <sz val="12"/>
        <color theme="1"/>
        <rFont val="Arial Narrow"/>
        <family val="2"/>
      </rPr>
      <t xml:space="preserve">State of Hawaii Safe Routes to School Coordinator
Ph: (808) 692-7696 </t>
    </r>
  </si>
  <si>
    <r>
      <rPr>
        <b/>
        <sz val="12"/>
        <color theme="1"/>
        <rFont val="Arial Narrow"/>
        <family val="2"/>
      </rPr>
      <t xml:space="preserve">Genevieve Sullivan                    </t>
    </r>
    <r>
      <rPr>
        <sz val="12"/>
        <color theme="1"/>
        <rFont val="Arial Narrow"/>
        <family val="2"/>
      </rPr>
      <t xml:space="preserve">TAP Coordinator                            Ph: (808) 587-1834 </t>
    </r>
  </si>
  <si>
    <t>State</t>
  </si>
  <si>
    <t xml:space="preserve">State </t>
  </si>
  <si>
    <t>Grants to Projects Bridge: Hawaii Department of Transportation Funding Sources</t>
  </si>
  <si>
    <t>Buildings</t>
  </si>
  <si>
    <t>Power</t>
  </si>
  <si>
    <t>Transportation</t>
  </si>
  <si>
    <t>Resilience</t>
  </si>
  <si>
    <t>Equity, EJ, JT</t>
  </si>
  <si>
    <t>NWL</t>
  </si>
  <si>
    <t>Industry</t>
  </si>
  <si>
    <t>Pollution</t>
  </si>
  <si>
    <t>Legislation</t>
  </si>
  <si>
    <t>Senate Committee</t>
  </si>
  <si>
    <t>Division</t>
  </si>
  <si>
    <t>Title</t>
  </si>
  <si>
    <t>Subtitle</t>
  </si>
  <si>
    <t>Section in Bill</t>
  </si>
  <si>
    <t>Agency</t>
  </si>
  <si>
    <t>Sectors</t>
  </si>
  <si>
    <t>Program Name</t>
  </si>
  <si>
    <t>Approp Yr</t>
  </si>
  <si>
    <t xml:space="preserve"> Appropriation  </t>
  </si>
  <si>
    <t>Expiration Date</t>
  </si>
  <si>
    <t>New/ Existing</t>
  </si>
  <si>
    <t xml:space="preserve">Type </t>
  </si>
  <si>
    <t>Notes on Eligibility</t>
  </si>
  <si>
    <t xml:space="preserve">Federal Administrative Cost Allocation </t>
  </si>
  <si>
    <t>Eligible Entity Matching Requirements</t>
  </si>
  <si>
    <t>Description of match</t>
  </si>
  <si>
    <t>Special Considerations or Requirements</t>
  </si>
  <si>
    <t>Notes on special reqs.</t>
  </si>
  <si>
    <t>X</t>
  </si>
  <si>
    <t>IIJA - H.R.3684</t>
  </si>
  <si>
    <t>EPW</t>
  </si>
  <si>
    <t>Division A - Surface Transportation</t>
  </si>
  <si>
    <t>Title I - Federal-Aid Highways</t>
  </si>
  <si>
    <t>D - Climate Change</t>
  </si>
  <si>
    <t>11406. Healthy Streets Program;
11101 (b)(2)(C);</t>
  </si>
  <si>
    <t>DOT</t>
  </si>
  <si>
    <t>Healthy Streets Program</t>
  </si>
  <si>
    <t>FY 22-26</t>
  </si>
  <si>
    <t xml:space="preserve">Healthy Streets Program provides grants projects that mitigate urban heat islands, improve air quality, and reduce stormwater runoff. 
• to provide grants to eligible entities— (1) to deploy cool pavements and porous pavements; and (2) to expand tree cover.
• uses of the grants: (1) assessment to identify hot spot areas of extreme heat or elevated air pollution; (2)tree canopy assessment;  (3) related equity assessment; (4) Planning activities; (5) Purchasing and deploying cool pavements; (6) Purchasing and deploying porous pavement; (7) Purchasing, planting, site preparation for trees (8) Assessing underground infrastructure and coordinating with local transportation and utility providers (9) hiring staff to conduct these
• $15M maximum grant </t>
  </si>
  <si>
    <t>New</t>
  </si>
  <si>
    <t>includes states</t>
  </si>
  <si>
    <t>States, MPs, local government, tribal government, nonprofit orgs working with those entities. 
low-income and disadvantaged communities</t>
  </si>
  <si>
    <t>Federal share cap</t>
  </si>
  <si>
    <t xml:space="preserve">80 percent federal cost share cap (can be waived by the Secretary) </t>
  </si>
  <si>
    <t>Urban areas;
Grant prioritization</t>
  </si>
  <si>
    <t>• not less than 80 percent shall be provided for projects in urbanized areas</t>
  </si>
  <si>
    <t>E - Misc</t>
  </si>
  <si>
    <t>Invasive Plant Elimination Program - to provide grants to States to eliminate or control existing invasive plants or prevent introduction of or encroachment by new invasive plants along and in areas adjacent to transportation corridor rights-of-way</t>
  </si>
  <si>
    <t>States</t>
  </si>
  <si>
    <t>Pollinator-friendly practices on roadsides and highway rights-of-way. ($2M for each FY 22-26)
•provide grants to eligible entities to carry out activities to benefit pollinators on roadsides and highway rights-of-way, including the planting and seeding of native, locally-appropriate grasses and wildflowers, including milkweed.
• grants shall not exceed $150,000
• technical assistance to grantees</t>
  </si>
  <si>
    <t>states included</t>
  </si>
  <si>
    <t>a State department of transportation; an Indian tribe; or a Federal land management agency</t>
  </si>
  <si>
    <t>Division D - Energy</t>
  </si>
  <si>
    <t>Title VIII—Natural Resources-Related Infrastructure, Wildfire Management, and Ecosystem Restoration</t>
  </si>
  <si>
    <t>DOI, USDA</t>
  </si>
  <si>
    <t>NWL, Resilience</t>
  </si>
  <si>
    <t>FY22-26</t>
  </si>
  <si>
    <t>• $300M for contracts to restore ecological health to at least 10k acres of Federal land, incl. salaries and expenses, divided as: $50M for DOI admin of those contracts, and $150M for USDA admin; and $100M for DOI to establish the Working Capital Fund
• $200M for States and Indian Tribes for implementing restoration projects on Federal land; $40M to DOI and $160M to USDA
• $400M to the USDA to provide financial assistance to facilities that purchase and process byproducts from ecosystem restoration projects 
• $400M to DOI to provide grants to States, territories of the United States, and Indian Tribes for implementing voluntary ecosystem restoration projects on private or public land, in consultation with the Secretary of Agriculture, that—
(A) prioritizes funding cross-boundary projects; and
(B) requires matching funding from the State, territory of the United States, or Indian Tribe to be eligible to receive the funding
• $50M for the USDA  to award grants to States and Indian Tribes to establish rental programs for portable skidder bridges, bridge mats, or other temporary water crossing structures, to minimize stream bed disturbance on non-Federal land and Federal land
• $200M for invasive species detection and eradication
• $100M to restore, prepare, or adapt recreation sites on Federal land 
• $200M to  restore native vegetation and mitigate environmental hazards on mined land on Federal and non-Federal land, 50% to DOI, 50% to USDA
• $200M  to establish and implement a national revegetation effort on Federal and nonfederal land
• $80M in coordination with the Secretary of the Interior, to establish a collaborative-based, landscape-scale restoration program to restore water quality or fish passage on Federal land
• commissions a submission of a list of projects to Congress
• commissions a ranking system for the  priority for ecological restoration involving vegetation removal
• $45M to DOI and $35M to USDA to restore, prepare, or adapt recreation sites on Federal land that have experienced or may likely experience visitation and use beyond the carrying capacity of the sites. 
• $5M for the Collaboratively-Based, Aquatic-Focused, Landscape-Scale Restoration Program to restore fish passage or water quality on Federal land (and non-Federal land to
the extent allowed)
• Division J appropriates:
- $905M for Departmental Operations
- $78M between Sections 40803 and 40804 for State and Private Forestry
- $2.115B between Sections 40803 and 40804 for the National Forest System, of which $587M, to remain available until expended, shall be made available for fY22 and $382M to remain available until expended, shall be made available for each of FY23-26</t>
  </si>
  <si>
    <t xml:space="preserve">States included </t>
  </si>
  <si>
    <t>States, Territories, Tribes</t>
  </si>
  <si>
    <t>Agriculture, Nutrition, and Forestry</t>
  </si>
  <si>
    <t>USDA</t>
  </si>
  <si>
    <t>Joint Chiefs Landscape Restoration Partnership program</t>
  </si>
  <si>
    <t>FY22-23</t>
  </si>
  <si>
    <t>Until expended</t>
  </si>
  <si>
    <t>• to coordinate eligible activities conducted on National Forest System land and State, Tribal, or private land across a forest landscape to improve the health and resilience of the forest landscape</t>
  </si>
  <si>
    <t>• States, Federal, Tribes
•  An eligible activity may not be carried out under the Program— (1) in a wilderness area or designated wilderness study area; (2) in an inventoried roadless area; (3) on any Federal land on which, by Act of Congress or Presidential proclamation, the removal of vegetation is restricted or prohibited; or (4) in an area in which the eligible activity would be inconsistent with the applicable land and resource management plan.</t>
  </si>
  <si>
    <t xml:space="preserve">In evaluating and selecting proposals submitted under subsection (c), the Chiefs shall consider—
(1) criteria including whether the proposal—
(A) reduces wildfire risk in a municipal watershed or the wildland-urban interface;
(B) was developed through a collaborative process with participation from diverse stakeholders;
(C) increases forest workforce capacity or forest business infrastructure and development;
(D) leverages existing authorities and non-Federal funding;
(E) provides measurable outcomes; or
(F) supports established State and regional priorities; and
(2) such other criteria relating to the merits of the proposals as the Chiefs determine to be appropriate. </t>
  </si>
  <si>
    <t>• Of the funds, at least 40% is allocated to carry out eligible activities through the Natural Resources Conservation Service; 
• at least 40% is allocated to carry out eligible activities through the Forest Service; and 
• the remaining funds are allocated by the Chiefs to the Natural Resources Conservation Service or the Forest Service— (i) to carry out eligible activities; or
 (ii) for other purposes, such as technical assistance, project development, or local capacity building.</t>
  </si>
  <si>
    <t>Title IX—Western Water Infrastructure</t>
  </si>
  <si>
    <t xml:space="preserve">DOI </t>
  </si>
  <si>
    <t>• to provide financial assistance for watershed management projects
• $100M is appropriated for this Section in Division J</t>
  </si>
  <si>
    <t>• for design, study, and construction of aquatic ecosystem restoration and protection projects 
• $250M is appropriated for this Section in Division J</t>
  </si>
  <si>
    <t>40901; 40907</t>
  </si>
  <si>
    <t>• for multi-benefit projects to improve watershed health through:
(1) Ecosystem benefits.
(2) Restoration of native species.
(3) Mitigation against the impacts of climate change to fish and wildlife habitats.
(4) Protection against invasive species.
(5) Restoration of aspects of the natural ecosystem.
(6) Enhancement of commercial, recreational, subsistence, or Tribal ceremonial fishing.
(7) Enhancement of river-based recreation. 
• $100M is appropriated for this Section in Division J</t>
  </si>
  <si>
    <t>Competitive Grant</t>
  </si>
  <si>
    <t>States included</t>
  </si>
  <si>
    <t>• (1) a State; (2) a Tribal or local government; (3) an organization with power or water delivery authority; (4) a regional authority; or (5) a nonprofit conservation organization.
• ineligible projects: habitat restoration projects the purpose of which is to meet existing environmental mitigation or compliance obligations under Federal or State law.</t>
  </si>
  <si>
    <t>50%, or 25% for projects with overwhelming non-consumptive water conservation benefit or habitat restoration benefit</t>
  </si>
  <si>
    <t>• The Federal share of the cost of any habitat restoration project that is awarded a grant under subsection (b)— 
(1) shall not exceed 50 percent of the cost of the habitat restoration project; or 
(2) in the case of a habitat restoration project that provides benefits to ecological or recreational values in which the nonconsumptive water conservation benefit or habitat restoration benefit accounts for at least 75 percent of the cost of the habitat restoration project, as determined by the Secretary, shall not exceed 75 percent of the cost of the habitat restoration project.</t>
  </si>
  <si>
    <t>• priority given to projects that achieve multiple benefits (see program description)</t>
  </si>
  <si>
    <t>Division J - Appropriations</t>
  </si>
  <si>
    <t xml:space="preserve">VI - Department of the interior, environment, and related agencies </t>
  </si>
  <si>
    <t>Environmental protection agency</t>
  </si>
  <si>
    <t>EPA</t>
  </si>
  <si>
    <t xml:space="preserve">• $132M for the National Estuary Program grants 
• $60M for actions under the Gulf Hypoxia Action Plan 
</t>
  </si>
  <si>
    <t>NATIONAL FOREST SYSTEM</t>
  </si>
  <si>
    <t>Resilience, NWL</t>
  </si>
  <si>
    <t>• $514M ($102.8M for each of FY22-26) for hazardous fuels management activities
- up to $12M per year of these funds may be used to make grants, using any authorities available for the Forest Service under the ‘‘State and Private Forestry’’ appropriation for the purposes of creating incentives for increased use of biomass from National Forest System lands, including the Community Wood Energy Program and the Wood Innovation Grants Program
- up to $8M per year of these funds  shall be for implementation of the Tribal Forestry Protection Act, as amended 
• $225M ($45M for each of FY22-26) for burned area recovery
• funds appropriated under this heading in this Act may be transferred to the United States Fish and Wildlife Service and the National Marine Fisheries Service for the costs of carrying out their responsibilities under the Endangered Species Act of 1973 (16 U.S.C. 1531 et seq.) to consult and conference, as required by section 7 of such Act, in connection with wildland fire management activities
• funds may be used for salaries and expenses
• one half of one percent of funds  shall be transferred to the Office of Inspector General of the Department of Agriculture for oversight of funding provided to the Forest Service in this title in this Act</t>
  </si>
  <si>
    <t>CAPITAL IMPROVEMENT AND MAINTENANCE</t>
  </si>
  <si>
    <t>• $100M for construction of temporary roads or reconstruction and maintenance of roads to facilitate forest restoration and management projects that reduce wildfire risk
• $10M  for the removal of non-hydropower Federal dams and for providing dam removal technical assistance
• funds appropriated under this heading in this Act may be transferred to the United States Fish and Wildlife Service and the National Marine Fisheries Service for the costs of carrying out their responsibilities under the Endangered Species Act of 1973 (16 U.S.C. 1531 et seq.) to consult and conference, as required by section 7 of such Act, in connection with wildland fire management activities</t>
  </si>
  <si>
    <t>A -Authorizations and Programs</t>
  </si>
  <si>
    <t xml:space="preserve">11106. Emergency Relief </t>
  </si>
  <si>
    <t>Transportation, Resilience</t>
  </si>
  <si>
    <t>n/a</t>
  </si>
  <si>
    <t>• Protective features - eligibility of expenses if the improvement is a protective feature that will mitigate the risk of recurring damage or the cost of future repair from extreme weather, flooding, and other natural disasters.</t>
  </si>
  <si>
    <t>Existing</t>
  </si>
  <si>
    <t>Forest Service Legacy Road and Trail Remediation Program</t>
  </si>
  <si>
    <t>• restores passages for fish and other aquatic species
• decommissions unauthorized user-created roads and trails that are not a National Forest System road or a National Forest System trail
• prepare previously closed National Forest System roads for long-term storage
• decommissions previously closed National Forest System roads and trails
• relocate National Forest System roads and trails to (A) increase resilience to extreme weather events, flooding, and other natural disasters; and (B) respond to changing resource conditions and public input
• converts National Forest System roads to National Forest System trails, while allowing for continued use for motorized and nonmotorized recreation, to the extent the use is compatible with the management status of the road or trail
• decommissions temporary roads
• carry out projects on National Forest System roads, trails, and bridges to improve resilience to extreme weather events, flooding, or other natural disasters. 
• $250M is appropriated under Division J for this section</t>
  </si>
  <si>
    <t>Mostly NFS projects, with the exception of programs that meet the requirements under (b)(2), for decommissioning unauthorized user-created roads and trails</t>
  </si>
  <si>
    <t>The Secretary shall establish a process for annually selecting projects for funding under the Program, consistent with the requirements of this section; 
(B) solicit and consider public input regionally in the ranking of projects for funding under the Program; 
(C) give priority for funding under the Program to projects that would— 
(i) protect or improve water quality in public drinking water source areas; 
(ii) restore the habitat of a threatened, endangered, or sensitive fish or wildlife species; or (iii) maintain future access to the adjacent area for the public, contractors, permittees, or firefighters; and 
(D) publish on the website of the Forest Service— 
(i) the selection process established under subparagraph (A); and 
(ii) a list that includes a description and the proposed outcome of each project funded under the Program in each fiscal year.</t>
  </si>
  <si>
    <t>Each project carried out under the Program shall be on a National Forest System road or trail, except with respect to a project described in subsection (b)(2); or a project carried out on a watershed for which the Secretary has entered into a cooperative agreement under section 323 of the Department of the Interior and Related Agencies Appropriations Act, 1999</t>
  </si>
  <si>
    <t>ENR</t>
  </si>
  <si>
    <t xml:space="preserve">• $20M for NOAA to establish and operate a program that makes use of the Geostationary Operational Environmental Satellite Program to rapidly detect and report wildfire starts in all areas in which the Secretary of the Interior or the Secretary of Agriculture has financial responsibility for wildland fire protection and prevention, 50% for DOI and 50% for USDA
• $600M for salaries and expenses of Federal wildland firefighters; $120M through DOI and $480M through USDA
• $10M to DOI to acquire technology and infrastructure for each Type I and Type II incident management team to maintain interoperability with respect to the radio frequencies used by any responding agency
• $30M to USDA to provide financial assistance to States, Indian Tribes, and units of local government to establish and operate Reverse-911 telecommunication systems
• $50M for DOI to  establish and implement a pilot program to provide to local governments financial assistance for the acquisition of slip-on tanker units to establish fleets of vehicles that can be quickly converted to be operated as fire engines
• $1.2M for USDA (in coordination with DOI) to develop and publish, not later than 180 days after the date of enactment of this Act, and every 5 years thereafter, a map depicting at-risk communities, including Tribal communities
• $100M split equally between DOI and USDA for preplanning fire response workshops that develop potential operational delineations; select potential control locations; and workforce training for staff, non-Federal firefighters, and Native village fire crews for—
(I) wildland firefighting; and (II) increasing the pace and scale of vegetation treatments, including training on how to prepare and implement large landscape treatments
• $20M to USDA to enter into an agreement with a Southwest Ecological Restoration Institute to carry out activities to reduce the risk of wildfires, including compiling data 
• $20M split equally between USDA and DOI for the Joint Fire Science Program (Division J appropriates $10M)
• $100M to USDA for collaboration and collaboration-based activities, including facilitation, certification of collaboratives, and planning and implementing projects under the Collaborative Forest Landscape Restoration Program
• $500M for thinning timber to reduce wildfire hazards; $100M for DOI, $400M for USDA
•  $500M for USDA, in cooperation with States, to award community wildfire defense grants to at-risk communities
• $500M for planning and conducting prescribed fires and related activities; 50% to DOI, 50% to USDA
• $500M for developing or improving potential control locations; 50% to DOI, 50% to USDA
• $200M for contracting or employing crews of laborers to modify and remove flammable
vegetation on Federal land and for using materials from treatments, to the extent practicable, to produce biochar and other innovative wood products, including through the use of existing locally based organizations that engage young adults, Native
youth, and veterans in service projects, such as youth and conservation corps
• $200M  for post-fire restoration activities that are implemented not later than 3 years
after the date that a wildland fire is contained
•$8M to USDA to provide feedstock to firewood banks; and to provide financial assistance for the operation of firewood banks
• $10M to USDA and DOI for the procurement and placement of wildfire detection and real-time monitoring equipment, such as sensors, cameras, and other relevant equipment, in areas at risk of wildfire or post-burned areas
• increases wildland firefighters' base salary by 20k or 50%
• establishes a program to reduce environmental and mental health hazards for firefighters, the National Wildfire Coordinating Group
• solicits new project proposals under the Collaborative Forest Landscape Restoration Program and provides an additional 5 years of funding for proposals selected before FY19 or otherwise been recommended for extension
• establishes the Community Wildfire Defense Program, under the USDA and in cooperation with the States, shall award grants to at-risk communities, including Indian Tribes (A) to develop or revise a community wildfire protection plan (max $250k award); and (B) to carry out projects described in a community wildfire protection plan that is not more than 10 years old (max $10M award)
• commissions an annual report from DOI and USDA describing the number of acres of land on which projects carried out using funds made available under this section improved the Fire Regime Condition Class
• commissions a study from USDA of the construction and maintenance of a system of strategically placed fuel breaks to control wildfires in western States
• requires USDA and DOI to  establish a 5-year monitoring, maintenance, and treatment plan for Federal and Tribal lands that have the highest wildfire hazard potential
• requires DOI and USDA to publish a long-term, outcome-based monitoring, maintenance, and treatment strategy within 5 years of enactment
• For this Section, Division J appropriates:
-  $1.055B for DOI activities including fuels management activities
- $10M for Forest and Rangeland Research ($2M annually FY22-26)
- $78M between Sections 40803 and 40804 for State and Private Forestry
- $2.115B between Sections 40803 and 40804 for the National Forest System, of which $587M, to remain available until expended, shall be made available for fY22 and $382M to remain available until expended, shall be made available for each of FY23-26
- $696.2M for Wildland Fire Management
</t>
  </si>
  <si>
    <t>At-Risk Communities, including Tribes</t>
  </si>
  <si>
    <t xml:space="preserve">• For the Community Wildfire Defense Program: For grants to at-risk communities that are located in the continental United States, they must be located in a county or community that has adopted an ordinance or regulation that requires the construction of new roofs on buildings to adhere to standards that are similar to, or more stringent than— (I) the roof construction standards established by the National Fire Protection Association; or (II) an applicable model building code established by the International Code Council. </t>
  </si>
  <si>
    <t>Community Wildfire Defense Program: 10% for (A) and 25% for (B)</t>
  </si>
  <si>
    <t xml:space="preserve">• For the Wildfire Community Defense Program: 
• priority given to an at-risk community that is—
(A) in an area identified by the Secretary of Agriculture as having high or very high wildfire hazard potential; (B) a low-income community; or (C) a community impacted by a severe disaster. 
• priority is given to projects that 
(1) any applicable processes under the National Environmental Policy Act of 1969  have been completed on the date of enactment of this Act;
(2) that reduce the likelihood of experiencing uncharacteristically severe effects from a potential wildfire by focusing on areas strategically important for reducing the risks associated with wildfires;
(3) that maximize the retention of large trees, as appropriate for the forest type, to the extent that the trees promote fire-resilient stands;
(4) that do not include the establishment of permanent
roads;
(5) for which funding would be committed to decommission
all temporary roads constructed to carry out the project; and
(6) that fully maintain or contribute toward the restoration of the structure and composition of old growth stands consistent with the characteristics of that forest type, taking into account
the contribution of the old growth stand to landscape fire
adaption and watershed health, unless the old growth stand is part of an authorized science-based ecological restoration project </t>
  </si>
  <si>
    <t>WaterSMART</t>
  </si>
  <si>
    <t>• for WaterSMART grants
• $400M is appropriated for this Section in Division J
• of the funds identified in the preceding proviso, $100M shall be for projects that would improve the condition of a natural feature or nature-based feature, as described in section 40901(7) of division D of this Act (from Division J)</t>
  </si>
  <si>
    <t>Division E - Drinking Water and Wastewater Infrastructure</t>
  </si>
  <si>
    <t>Title II—Clean Water</t>
  </si>
  <si>
    <t>50220. Clean watersheds needs survey.</t>
  </si>
  <si>
    <t>resilience, remediation</t>
  </si>
  <si>
    <t xml:space="preserve">FY22 </t>
  </si>
  <si>
    <t>• amends Title VI of the Federal Water Pollution Control Act by:
- adding a Clean Watersheds Needs Survey, not later than 2 years after enactment and then at least once every 4 years thereafter, to conduct and complete an assessment of capital improvement needs for all projects that are eligible under section 603(c) for assistance from State water pollution control revolving funds; and submit an assessment to Congress on this assessment</t>
  </si>
  <si>
    <t>Assessment</t>
  </si>
  <si>
    <t>III—Energy and water development and related agencies</t>
  </si>
  <si>
    <t>DEPARTMENT OF THE ARMY</t>
  </si>
  <si>
    <t>Construction</t>
  </si>
  <si>
    <t>DoD</t>
  </si>
  <si>
    <t>• to initiate new construction
• the limitation concerning total project costs in section 902 of the Water Resources Development Act of 1986 does not apply to any project receiving funds from this section
• $1.5B shall be for major rehabilitation, construction, and related activities for rivers and harbors, of which not more than $250M shall be to undertake work at harbors defined by section 2006 of the Water Resources Development Act of 2007 (Public Law 110–114, 33 U.S.C. 2242), as amended, and not more than $250M may be for projects determined to require repair in the report prepared pursuant to section 1104 of the Water Infrastructure Improvements for the Nation Act
• $200M for water-related environmental infrastructure assistance
• $2.5B for construction, replacement, rehabilitation, and expansion of inland waterways projects
• $465M to undertake work authorized to be carried out in accordance with section 14, as amended, of the Flood Control Act of 1946 (33 U.S.C. 701r), section 103, as amended,
of the River and Harbor Act of 1962 (Public Law 87–874), section 107, as amended, of the River and Harbor Act 1960 (Public Law 86–645), section 204 of the Water Resources Development Act of 1992 (33 U.S.C. 2326), section 205 of the Flood Control Act of 1948 (33 U.S.C. 701s), section 206 of the Water Resources Development Act of 1996 (Public Law 104–303; 33 U.S.C. 2330), section 1135 of the Water Resources Development Act of 1986 (Public Law 99–662; 33 U.S.C. 2309a), or section 165(a) of division AA of the Consolidated Appropriations Act, 2021 (Public Law 116– 260), notwithstanding the project number or program cost limitations set forth in those sections
• $115M shall be used under the aquatic ecosystem restoration program under section 206 of
the Water Resources Development Act of 1996 (33 U.S.C. 2330) to restore fish and wildlife passage by removing in-stream barriers and provide technical assistance to non-Federal interests carrying out such activities, at full Federal expense and notwithstanding the individual project cost limitation set forth in that section
• $1.9B shall be for aquatic ecosystem restoration projects, of which not less than $1B shall be for multi-purpose projects or multi-purpose programs that include aquatic ecosystem restoration as a purpose
• $2.55B shall be for coastal storm risk management, hurricane and storm damage reduction projects, and related activities targeting States that have been impacted by federally declared disasters over the last six years, which may include projects authorized by section 116 of Public Law 111–85, of which not less than $1B shall be for multi-purpose projects or multi-purpose programs that include flood risk management benefits as a purpose; $200M shall be for shore protection projects; $100M to remain available until expended, shall be for FY22; $50M to remain available until expended, shall be for FY23, and $50M, to remain available until expended, shall be  for FY24
• $2.5B shall be for inland flood risk management projects, of which not less than $750M shall be for multi-purpose projects or multi-purpose programs that include flood risk management as a purpose</t>
  </si>
  <si>
    <t>• That under the $2.5B construction, replacement, rehabilitation, and expansion of inland waterways projects proviso, the Secretary shall give priority to projects included in the Capital Investment Strategy of the Corps of Engineers
 • in selecting projects under the $2.5B inland flood risk management projects, the Secretary of the Army shall prioritize projects with overriding life-safety benefits; and  the Secretary of the Army shall, to the maximum extent practicable, prioritize projects in the work plan that directly benefit economically disadvantaged
communities, and may take into consideration prioritizing projects that benefit areas in which the percentage of people that live in poverty or identify as belonging to a minority group is greater than the average such percentage in the United States, based
on data from the Bureau of the Census</t>
  </si>
  <si>
    <t>FLOOD CONTROL AND COASTAL EMERGENCIES</t>
  </si>
  <si>
    <t>• for "Flood Control and Coastal Emergencies"
• funding provided under this heading in this Act and utilized for authorized shore protection projects shall restore such projects to the full project profile at full Federal expense</t>
  </si>
  <si>
    <t>x</t>
  </si>
  <si>
    <t>Department of Interior</t>
  </si>
  <si>
    <t>United states fish and wildlife service</t>
  </si>
  <si>
    <t>USFWS</t>
  </si>
  <si>
    <t>$255M for the regional ecosystem restoration purposes including: 
$26M for Delaware River Basin Conservation Act
$162M for Klamath Basin restoration activities,
$17M for implementing section 5(d)(2) of the Lake Tahoe Restoration Act
$50M for sagebrush steppe ecosystem
$200M for restoring fish and wildlife passage by removing in-stream barriers and providing technical assistance under the National Fish Passage Program</t>
  </si>
  <si>
    <t>STATE AND PRIVATE FORESTRY</t>
  </si>
  <si>
    <t>• $500M for grants to at-risk communities for wildfire mitigation activities
• $88M for State Fire Assistance
• $20M for Volunteer Fire Assistance (may be transferred between accounts affected by the Forest Service budget restructure outlined in section 435 of division D of the Further Consolidated Appropriations Act, 2020  to carry out the activities in support of this heading)
• one-half of one percent of the amounts made available under this heading in this Act in each of fiscal years 2022 through 2026
shall be transferred to the Office of Inspector General of the Department of Agriculture for oversight of funding provided to the Forest
Service in this title in this Act</t>
  </si>
  <si>
    <t>11109. Surface Transportation Block Grant Program</t>
  </si>
  <si>
    <t>Surface Transportation Block Grant Program</t>
  </si>
  <si>
    <t xml:space="preserve">• Adds eligibility for installation of electric vehicle charging infrastructure and vehicle-to-grid infrastructure; installation and deployment of intelligent transportation technologies, planning and construction of projects that facilitate intermodal connections between emerging transportation technologies, such as magnetic levitation and hyperloop; and protective features, including natural infrastructure, to enhance the resilience of a transportation facility; </t>
  </si>
  <si>
    <t>Not less than the average non-Federal share of the cost of the projects that would otherwise apply</t>
  </si>
  <si>
    <t>competitive process shall include prioritization of project location and impact in high-need areas as defined by the State, such as low-income, transit-dependent, rural, or other areas</t>
  </si>
  <si>
    <t xml:space="preserve">11110; 
11101 (b)(1)(G); </t>
  </si>
  <si>
    <t>Nationally Significant Multimodal Freight and Highway Program</t>
  </si>
  <si>
    <t>• FY22: $1B, FY23: $1.1B, FY24: $1.2B, FY25: $1.3B, FY26: $1.4B
• Renames the Nationally Significant Freight and Highway Projects program (aka INFRA) to Nationally Significant Multimodal Freight and Highway Program
• Multimodal projects cap raised to 30% of annual grants 
• $150M of the appropriations for each FY for a new state incentives pilot program
• Division J also appropriates $3.2B in FY22</t>
  </si>
  <si>
    <t>2% for National Surface Transportation and Innovative Finance
Bureau</t>
  </si>
  <si>
    <t xml:space="preserve">50% federal share cap; 80% federal share for small projects </t>
  </si>
  <si>
    <t>rural; small</t>
  </si>
  <si>
    <t>25% for rural projects; 
10% for small projects;</t>
  </si>
  <si>
    <t>11111. Highway Safety Improvement Program</t>
  </si>
  <si>
    <t>FHWA</t>
  </si>
  <si>
    <t>Highway Safety Improvement Program</t>
  </si>
  <si>
    <t>• Amended to add further considerations for multimodal considerations including pedestrian and cycling signals and highway separations.
• Each state within 2 years must complete a vulnerable road user safety assessment</t>
  </si>
  <si>
    <t>• 10 percent cap on the  amounts provided by section 104(b)(3) for use to carryout specified safety projects
• If the total annual fatalities of vulnerable road users in a State represents is more than 15% of the total annual crash fatalities in the State, that State is required to obligate not less than 15 percent of the amounts apportioned to the State under section 104(b)(3) for the following fiscal year for highway safety improvement projects to address the safety of vulnerable road users.</t>
  </si>
  <si>
    <t>11115. Congestion Mitigation and Air Quality Improvement Program; 11104(b)(4)</t>
  </si>
  <si>
    <t>Congestion Mitigation and Air Quality Improvement Program (CMAQ)</t>
  </si>
  <si>
    <t xml:space="preserve">FY22: $2.5B, FY23:$2.5B, FY24:$2.6B, FY25:$2.6B, FY26:$2.7B
• includes bike sharing and shared scooter systems
• adds the purchase of medium- or heavy-duty zero emission
vehicles and related charging equipment
• Allows assistance to MPOs for tracking minority and low-income populations </t>
  </si>
  <si>
    <t>•</t>
  </si>
  <si>
    <t>11117. Toll Road, Bridges, Tunnels and Ferries</t>
  </si>
  <si>
    <t>Transportation, Ports</t>
  </si>
  <si>
    <t>• Diesel Ferry Vessels - Notwithstanding section 147(b),...a project to replace or retrofit a diesel fuel ferry vessel that provides substantial emissions reductions, the Federal share of the cost of the project may be up to 85 percent, as determined by the State.</t>
  </si>
  <si>
    <t>state</t>
  </si>
  <si>
    <t>11119. Safe Routes to Schools</t>
  </si>
  <si>
    <t>Safe Routes to Schools Program</t>
  </si>
  <si>
    <t>until expended</t>
  </si>
  <si>
    <t>• Establishes a Safe Routes to Schools program to 1) enable and encourage children, including those with disabilities, to walk and bicycle to school; 2)to make bicycling and walking to school a safer and more appealing transportation alternative, thereby encouraging a healthy and active lifestyle from an early age; and 3)to facilitate the planning, development, and implementation of projects and activities that will improve safety and reduce traffic, fuel consumption, and air pollution in the vicinity of schools.
• may be used for the planning, design, and construction of infrastructure-related projects that will substantially improve the ability of students to walk and bicycle to school, including sidewalk improvements, traffic calming and speed reduction improvements, pedestrian and bicycle crossing improvements, on-street bicycle facilities, off-street bicycle and pedestrian facilities, secure bicycle parking facilities, and traffic diversion improvements in the vicinity of schools.
• minimum of $1M apportionment 
• DOT can make grants to a national nonprofit organization engaged in promoting safe routes to schools using the DOT's set aside for admin
• Division J appropriates $5B until expended ($1B appropriated per year FY22-26)</t>
  </si>
  <si>
    <t xml:space="preserve">state administers </t>
  </si>
  <si>
    <t>State to provide financial assistance to State, local, Tribal, and regional agencies, including nonprofit organizations</t>
  </si>
  <si>
    <t xml:space="preserve">$3M annually </t>
  </si>
  <si>
    <t>Non infrastructure activity cap and floor</t>
  </si>
  <si>
    <t>Not less than 10 percent and not more than 30 percent of the amount apportioned to a State under this section for a fiscal year shall be used for Non infrastructure-related activities</t>
  </si>
  <si>
    <t>11130. Public Transportation</t>
  </si>
  <si>
    <t>• Adds capital projects for bus rapid transit corridor or dedicated bus lanes (signal prioritization, redesigning intersections for BRT, on-street stations, fare collection systems, info and wayfinding systems, and depots)</t>
  </si>
  <si>
    <t>11132. Rural surface transportation grant program</t>
  </si>
  <si>
    <t>Rural surface transportation grant program</t>
  </si>
  <si>
    <t>• program for rural areas (outside urban area with population over 200k) with the intent to increase connectivity, improve safety and reliability movement, and generate regional economic growth
• allows for: a project to develop, establish, or maintain an integrated mobility management system, a transportation demand management system, or on-demand mobility services.
• additional considerations include 1) increase the capacity or connectivity of the surface transportation system and improve mobility for residents of rural areas and 2) enhancing access to public lands 3)utilize innovative project delivery approaches or incorporate transportation technologies
• grant amount not less than $25M</t>
  </si>
  <si>
    <t>State; regional transportation planning organization; a unit of local government; a Tribal government or a consortium of Tribal governments; and a multijurisdictional group</t>
  </si>
  <si>
    <t>federal share shall not exceed 80%</t>
  </si>
  <si>
    <t>small projects</t>
  </si>
  <si>
    <t xml:space="preserve">10% for small projects </t>
  </si>
  <si>
    <t>11133. Bicycle Transportation and Pedestrian Walkways</t>
  </si>
  <si>
    <t>• defines e-bikes (class 1, 2, and 3) 
• adds micromobility as an eligible use of funds for construction of walkways and bicycle transportation facilities.</t>
  </si>
  <si>
    <t>B - Planning and Performance Management</t>
  </si>
  <si>
    <t>11201. Transportation Planning</t>
  </si>
  <si>
    <t>• Under housing coordination, allows MPOs serving a transportation management area may develop a housing coordination plan that includes projects and strategies that may be considered in the metropolitan transportation plan of the metropolitan planning organization. The plan could include, among other things, developing regional goals to connect housing and employment, expand housing including higher-density development, managing effects of VMT growth to housing and economic development, increase share of households with affordable access to transportation networks.</t>
  </si>
  <si>
    <t>11206. Increasing safe and accessible transportation options</t>
  </si>
  <si>
    <t>• Not less than 2.5% of funding for a state or MPO must be used for § 505 (State planning and research) - activity to increase safe and accessible options for multiple travel modes for people of all ages and abilities including complete streets policies and planning
• "Complete Streets standards or policies’’ means standards or policies that ensure the safe and adequate accommodation of all users of the transportation system, including pedestrians, bicyclists, public transportation users, children, older individuals, individuals with disabilities, motorists, and freight vehicles.
• planning for a transportation networks to connect workplaces, homes, schools, etc.; integrate active transportation facilities with public transportation; create multiuse active transportation infrastructure facilities; increase public transportation ridership; improve the safety of bicyclists and pedestrians</t>
  </si>
  <si>
    <t>State and MPOs</t>
  </si>
  <si>
    <t>C - Project Delivery and Process Improvement</t>
  </si>
  <si>
    <t>11318. Certain gathering lines located on federal lands</t>
  </si>
  <si>
    <t>the issuance of a sundry notice or right-of-way for a gathering line and associated field compression or pumping unit that is located on Federal land or Indian land and that services any oil or gas well may be considered by the Secretary to be an action that is categorically excluded (as defined in section 1508.1 of title 40, Code of Federal Regulations (as in effect on the date of enactment of this Act)) for purposes of the National Environmental Policy Act of 1969 (42 U.S.C. 4321 et seq.) if the gathering line and associated field compression or pumping unit if...(3) would reduce quantity of venting, flaring or unintentional emission of methane...</t>
  </si>
  <si>
    <t>11402; 
11101 (b)(1)(F); 
Division J Title XIII</t>
  </si>
  <si>
    <t>Reduction of Truck Emissions at Port Facilities (chapter 1 of title 23, USC)
establish a program to reduce idling at port facilities
• study how ports and intermodal port transfer facilities would benefit from increased opportunities to reduce emissions at ports, including through the electrification of port operations; (B) study emerging technologies and strategies that may help reduce port-related emissions from idling trucks; and (C) coordinate and provide funding to test, evaluate, and deploy projects that reduce port-related emissions from idling trucks, including through the advancement of port electrification and improvements in efficiency, focusing on port operations, including heavy-duty commercial vehicles, and other related projects.
• $50M for each FY 2022 through 2026
• Division J also appropriates $150M in FY22</t>
  </si>
  <si>
    <t>ports</t>
  </si>
  <si>
    <t xml:space="preserve">80 percent  federal cost share cap. </t>
  </si>
  <si>
    <t>11403. Carbon Reduction Program; 11101</t>
  </si>
  <si>
    <t>Carbon Reduction Program</t>
  </si>
  <si>
    <t>~ $6B</t>
  </si>
  <si>
    <t>• Within two years, a State, in consultation with a MPO, shall develop a carbon reduction strategy. It will be updated at least every 4 years
• States eligible for technical assistance 
• Under 11101, receives ~2.56% percent of the amount remaining after distributing amounts under paragraphs (4 - "6.70605141316253 percent"), (5 - CMAQ ), and (6 - national highway freight program).
• funds apportioned to a State under section 104(b)(7) may be obligated
for projects to support the reduction of transportation emissions, including but not limited to advanced truck stop electrification
systems; public transportation (sec. 142); on-road and off-road
trail facilities for pedestrians, bicyclists, and other nonmotorized
forms of transportation; vehicle-to-infrastructure communications; replace street lighting and traffic control devices with energy-efficient alternatives; development of a carbon reduction strategy; congestion pricing; efforts to reduce the environmental and community
impacts of freight movement; EVSE and AFV fueling; AFV construction equipment; port electrification; etc.
• 65% relative to state population; the remainder to any other area of the state</t>
  </si>
  <si>
    <t>states</t>
  </si>
  <si>
    <t>The Federal share of the cost of a project carried out using funds apportioned to a State under section
104(b)(7) shall be determined in accordance with section 120.</t>
  </si>
  <si>
    <t xml:space="preserve">11414. Congestion Relief Program; 11101 (b)(1)(B); </t>
  </si>
  <si>
    <t>Congestion Relief Program</t>
  </si>
  <si>
    <t>• congestion relief program under section 129(d) of title 23, USC. $50M for each FY 2022 through 2026
• The goals of the program are to reduce highway congestion, reduce economic and environmental costs associated with that congestion, including transportation emissions, and optimize existing highway capacity and usage of highway and transit systems through (A) improving intermodal integration with highways, highway operations, and highway performance; (B) reducing or shifting highway users to off-peak
travel times or to nonhighway travel modes during peak travel times; and
(C) pricing of, or based on, as applicable(i) parking;(ii) use of roadways, including in designated geographic zones; or (iii) congestion.
• Competitive grants (minimum of $10M) to for projects urbanized areas greater than 1 million people for multimodal and innovative congestion relief projects
• Grants can be used for planning, design, implementation, and
construction activities, to achieve the program goals, including (A) deployment and operation of an integrated congestion management system; (B) deployment and operation of a system that implements
or enforces high occupancy vehicle toll lanes, cordon pricing, parking pricing, or congestion pricing; (C) deployment and operation of mobility services, including establishing account-based financial systems,
commuter buses, commuter vans, express operations, paratransit,
and on-demand microtransit; and ‘‘(D) incentive programs that encourage travelers to carpool, use nonhighway travel modes during peak period,
or travel during nonpeak periods.</t>
  </si>
  <si>
    <t xml:space="preserve">Competitive; discretionary </t>
  </si>
  <si>
    <t>•A State, for the purpose of carrying out a project in an urbanized area with a population of more than 1,000,000.
•A metropolitan planning organization, city, or municipality, for the purpose of carrying out a
project in an urbanized area with a population of more than 1,000,000.</t>
  </si>
  <si>
    <t>80 percent federal cost share cap.</t>
  </si>
  <si>
    <t>priority to projects located in urban areas that are experiencing high degrees of recurrent congestion</t>
  </si>
  <si>
    <t>11405; 
11101 (b)(1)(E);</t>
  </si>
  <si>
    <t>PROTECT program</t>
  </si>
  <si>
    <t xml:space="preserve">Promoting resilient operations for transformative, efficient, and cost-saving transportation(PROTECT) program (FY22: $250M, FY23: $250M, FY24: $300M, FY25: $300M, FY26: $300M). Of which:
• Planning Grants under sec. (3)  (FY22: $25M, FY23: $25M, FY24: $30M, FY25: $30M, FY26: $30M)
• Resilience improvement grants under sec. (4)(A)  (FY22: $175M, FY23: $175M, FY24: $210M, FY25: $210M, FY26: $210M)
• community resilience and evacuation route grants (FY22: $25M, FY23: $25M, FY24: $30M, FY25: $30M, FY26: $30M)
• at-risk coastal infrastructure grants under sec. (4)(B)  (FY22: $25M, FY23: $25M, FY24: $30M, FY25: $30M, FY26: $30M)
~$7B in formula grants to states - • ~2.9% of the amount remaining after distributing amounts under paragraphs (4 - "6.70605141316253 percent"), (5 - CMAQ ), and (6 - national highway freight program)
• not less than 3% for planning 
• "resilience improvement" means the use of materials or structural or nonstructural techniques, including natural infrastructure— 
(A) that allow a project— (i) to better anticipate, prepare for, and adapt to changing conditions and to withstand and respond to disruptions; and (ii) to be better able to continue to serve the primary function of the project during and after weather events and natural disasters for the expected life of the project; or 
(B) that— (i) reduce the magnitude and duration of impacts of current and future weather events and natural disasters to a project; or (ii) have the absorptive capacity, adaptive capacity, and recoverability to decrease project vulnerability to current and future weather events or natural
disasters. 
</t>
  </si>
  <si>
    <t>Competitive;
Formula</t>
  </si>
  <si>
    <t>Formula to states;
competitive for State or political subdivision of a State; MPO; local government; a special purpose district or public authority with
a transportation function, including a port authority; Indian tribe; territory; an authority, agency, or instrumentality of, or an entity owned by, 1 or more of those entities; a group of those entities</t>
  </si>
  <si>
    <t>construction cap</t>
  </si>
  <si>
    <t>40% of formula cap on new capacity construction; 
10% cap on development phase, feasibility, design, etc.</t>
  </si>
  <si>
    <t xml:space="preserve">Study of Impacts on roads from self-driving vehicles </t>
  </si>
  <si>
    <t>Non-state</t>
  </si>
  <si>
    <t>Disaster Relief Mobilization Study -  includes (A) a vulnerability assessment of the infrastructure in local communities that supports active transportation, including bicycling, walking, and personal mobility devices. Focus on areas of low vehicle ownership  and lacking active transportation infrastructure.  (C) review of training programs for first responders etc. on bicycle skills, maintenance, laws, etc.</t>
  </si>
  <si>
    <t xml:space="preserve">11509; 11101 (d)(3); </t>
  </si>
  <si>
    <t>Transportation, Equity</t>
  </si>
  <si>
    <t>Reconnecting Communities Pilot Program</t>
  </si>
  <si>
    <t xml:space="preserve">
• Reconnecting Communities Pilot Program. To study the feasibility and impacts of removing, retrofitting, or mitigating an existing eligible facility; to conduct planning activities necessary to design a project to remove, retrofit, or mitigate an existing eligible facility; and to conduct construction activities necessary to carry out a project to remove, retrofit, or mitigate an existing eligible facility.
• Intended to study the feasibility and impacts of removing, retrofitting,
or mitigating an existing eligible facility; conducting planning and construction
• Planning grants ($30M for each FY 22-26); cap of $2M per recipient.
• Capital construction grants (11509(d) (FY22: $65M, FY23: 68M, FY24: $70M, FY25: $72M, FY26: $75M); $5M minimum per recipient
• Technical assistance on transportation planning and innovative solutions (up to $15M of the appropriation)
• a grant recipient may form a community advisory board (sets out purpose and membership too)</t>
  </si>
  <si>
    <t>Competitive</t>
  </si>
  <si>
    <t>State, unit of local government, tribal government, MPO, nonprofit org</t>
  </si>
  <si>
    <t>Federal share cap; 
construction costs cap</t>
  </si>
  <si>
    <t>• 80 percent federal cost share cap; capital
• construction grant may not exceed 50 percent of the total cost of the project for which the grant is awarded</t>
  </si>
  <si>
    <t>Report on Emerging Alternative Fuel Vehicles and Infrastructure - Not later than 1 year after the date of enactment of this Act, to help guide future investments for emerging alternative fueling infrastructure. 
• (1) includes an evaluation of emerging alternative fuel vehicles and projections for potential locations of emerging alternative fuel vehicle owners during the 5-year period beginning on the date of submission of the report;
• (2) identifies areas where emerging alternative fueling infrastructure will be needed to meet the current and future needs of drivers during the 5-year period beginning on the date of submission of the report;
• (3) identifies specific areas, such as a lack of pipeline infrastructure, that may impede deployment and adoption of emerging alternative fuel vehicles;
• (4) includes a map that identifies concentrations of emerging alternative fuel vehicles to meet the needs of current and future emerging alternative fueling infrastructure;
• (5) estimates the future need for emerging alternative fueling infrastructure to support the adoption and use of emerging alternative fuel vehicles; and
• (6) includes a tool to allow States to compare and evaluate different adoption and use scenarios for emerging alternative fuel vehicles, with the ability to adjust factors to account for regionally specific characteristics</t>
  </si>
  <si>
    <t>Report on Air Quality Improvements. (3 year deadline) evaluation of (1) ozone and carbon monoxide reductions (2)cost-effectiveness of reductions (3) the result of investments of funding under the program in minority and low-income communities that are disproportionately affected by ozone, carbon monoxide, and particulate matter (4) effectiveness of NAAQS (5) project types not included that would help with NAAQS (6)the extent to which projects under the program reduce sulfur dioxide, nitrogen dioxide, and lead.</t>
  </si>
  <si>
    <t>Study on stormwater best management practices (DOT, EPA, and National Academy of Sciences)</t>
  </si>
  <si>
    <t>Active Transportation Infrastructure Investment Program</t>
  </si>
  <si>
    <t xml:space="preserve">Active Transportation Infrastructure Investment Program - grants, on a competitive basis, to eligible organizations to construct eligible projects to provide safe and connected active transportation facilities in an active transportation network or active transportation spine.
• The term ‘‘active transportation’’ means mobility options powered primarily by human energy, including bicycling and walking
• 200M for each FY 22-26
• $3M for planning grants
• RFA releases after 30 days of appropriation / grant selection after 150 days / </t>
  </si>
  <si>
    <t xml:space="preserve">competitive </t>
  </si>
  <si>
    <t>local or regional orgs. incl. MPOs or regional planning council; multi-county special district; state; multistate group of governments; Indian tribe</t>
  </si>
  <si>
    <t>$2M</t>
  </si>
  <si>
    <t>80 percent federal cost share cap; Secretary may raise to 100% for disadvantaged communities</t>
  </si>
  <si>
    <t>minimums categories</t>
  </si>
  <si>
    <t>30% to projects that construct active transportation networks that connect people with public transportation, businesses, workplaces, schools, residences, recreation areas, and other community activity centers; and
30% to eligible projects that construct active transportation spines</t>
  </si>
  <si>
    <t>Title III - Research, technology and education</t>
  </si>
  <si>
    <t>Transportation, Road Use Charge</t>
  </si>
  <si>
    <t xml:space="preserve">Strategic Innovation for Revenue Collection - establish a program to test the feasibility of a road usage fee and other user-based alternative revenue mechanisms.
• provide grants to eligible entities to carry out pilot projects
• $15M for each FY 22-26
</t>
  </si>
  <si>
    <t>States (or groups of states), local governments (or groups of local governments), MPO</t>
  </si>
  <si>
    <t>80 percent federal cost share cap for entity who has not received a grant; 70% for entity that has received at least 1</t>
  </si>
  <si>
    <t>National Motor Vehicle Per-mile User Fee Pilot Program</t>
  </si>
  <si>
    <t xml:space="preserve">National Motor Vehicle Per-mile User Fee Pilot Program
• to test the design, acceptance, implementation, and financial sustainability of a national motor vehicle per mile user fee; to address the need for additional revenue for surface transportation infrastructure and a national motor vehicle per-mile user fee; and to provide recommendations relating to the adoption and implementation of a national motor vehicle per mile user fee
• different methods to track; include volunteers from all states, D.C. and Puerto Rico; equitable distribution of participants
• establishes an advisory board </t>
  </si>
  <si>
    <t>13009; 
11101 (b)(2)(D);</t>
  </si>
  <si>
    <t>Transportation resilience and adaptation centers of excellence (section 520 of title 23 USC)
• Designate 10 regional centers / 1 national center
• grants to advance research and development that improves the resilience of regions of the United States to natural disasters and extreme weather by promoting the resilience of surface transportation infrastructure and infrastructure dependent on surface transportation
• Grants are not less than $5M for each FY 22-31</t>
  </si>
  <si>
    <t>The Federal share of the cost of an activity under this section, including the costs of establishing and operating a Center of Excellence, shall be 50 percent</t>
  </si>
  <si>
    <t>• Pilot program is to develop or procure an accessibility data set  to improve the transportation planning and disaggregating the level of access by surface transportation modes. 
• The Secretary shall carry out the pilot program using amounts made available to the Secretary for administrative expenses to carry out programs under the authority of the Secretary. 
• Sunsets after 8 years</t>
  </si>
  <si>
    <t>State, MPO, regional transportation planning org.</t>
  </si>
  <si>
    <t>Division B - Surface Transportation Investment Act of 2021</t>
  </si>
  <si>
    <t>Title I - Multimodal and Freight Transportation</t>
  </si>
  <si>
    <t xml:space="preserve">Subtitle B - Multimodal Investment </t>
  </si>
  <si>
    <t>21201. National infrastructure project assistance</t>
  </si>
  <si>
    <t>Transportation, ports, rail</t>
  </si>
  <si>
    <t>• Eligible projects include intercity passenger rail, public ports, etc. Projects $500M+
• $1B per year
• Funding opportunity not later than 180 days / Awards within 270 days</t>
  </si>
  <si>
    <t>competitive</t>
  </si>
  <si>
    <t>State, MPO, local government, political subdivision of the state, certain special purpose districts</t>
  </si>
  <si>
    <t>21202. Local and Regional Project Assistance</t>
  </si>
  <si>
    <t>Transportation, equity, water</t>
  </si>
  <si>
    <t>Local and Regional Project Assistance Program (RAISE)</t>
  </si>
  <si>
    <t>RAISE program (used to be BUILD)
• provide for capital investments in surface transportation infrastructure. 
• Grants (urban areas-not less than $5M; rural areas - not less than $1M; cap of $25M)
• Not more than 15 percent of the funds made available to carry out the program for a fiscal year may be awarded to eligible projects in a single State during that fiscal year
• NOI released 60 days after receipt of appropriations 
• Selection criteria includes environmental sustainability as well as improved mobility/connectivity 
• Additional criteria includes innovative projects and technology
• eligible projects include, passenger or freight rail, port infrastructure, chapter 53 projects, airport surface transportation components, etc.
(FY22 $1.5B remain available until 2026-09-30; FY23 $1.5B remain available until 2027-09-30; FY24 $1.5B remain available until 2028-09-30; FY25 $1.5B remain available until 2029-09-30; FY26 $1.5B remain available until 2030-09-30)</t>
  </si>
  <si>
    <t>state, D.C., territory, local government, public agency, special purpose district or authority, tribe, transit agency, multi-state/jurisdictional group</t>
  </si>
  <si>
    <t>80 percent federal cost share cap;</t>
  </si>
  <si>
    <t xml:space="preserve">rural and urban categories; disadvantaged communities </t>
  </si>
  <si>
    <t xml:space="preserve">• not more than 50% allocation for rural or urban projects
• 1% allocation for historically disadvantaged communities </t>
  </si>
  <si>
    <t>21204. National Multimodal Cooperative Freight Research Program</t>
  </si>
  <si>
    <t>Transportation, Research</t>
  </si>
  <si>
    <t>National Multimodal Cooperative Freight Research Program</t>
  </si>
  <si>
    <t xml:space="preserve">National Multimodal Cooperative Freight Research Program
• National Academy of Sciences grants for research. Topics include low-cost methods to reduce congestion at bottlenecks; Adapting to future trends in freight, including automation and ZEV; workforce </t>
  </si>
  <si>
    <t>non-state</t>
  </si>
  <si>
    <t>states can serve on advisory committee</t>
  </si>
  <si>
    <t>No Federal share cap</t>
  </si>
  <si>
    <t>Title II - Rail</t>
  </si>
  <si>
    <t xml:space="preserve">Subtitle A - Authorization of
Appropriations </t>
  </si>
  <si>
    <t xml:space="preserve">SEC. 22101. Grants to Amtrak </t>
  </si>
  <si>
    <t>Transportation, Rail</t>
  </si>
  <si>
    <t>• Amtrak Northeast Corridor Grants: $6.57B (FY22: 1.57B; FY23: $1.1B; FY24: $1.2B; FY25: $1.3B; FY26: $1.4B)
• Amtrak National Network: $12.65B (FY22: 2.3B; FY23: $2.2B; FY24: $2.4B; FY25: $2.7B; FY26: $3B)</t>
  </si>
  <si>
    <t>22106. Federal-State Partnership for intercity Passenger Rail Grants; 22307</t>
  </si>
  <si>
    <t>Federal-State partnership for state of good repair</t>
  </si>
  <si>
    <t xml:space="preserve">• grants for Federal-State partnership for state of good repair (section 24911 of title 49 USC)
• $1.5B for each FY 22-26
Division J appropriates $36,000,000,000.  $7,200,000,000 per year until expended. Not more than $24,000,000,000 shall be for the Northeast corridor. </t>
  </si>
  <si>
    <t xml:space="preserve">Existing </t>
  </si>
  <si>
    <t>(A)a State (including the District of Columbia); (B)a group of States; (C)an Interstate Compact; (D)a public agency or publicly chartered authority established by 1 or more States; (E)a political subdivision of a State; (F)Amtrak, acting on its own behalf or under a cooperative agreement with 1 or more States; or (G)any combination of the entities described in subparagraphs (A) through (F).</t>
  </si>
  <si>
    <t>Subtitle C—Intercity Passenger Rail Policy</t>
  </si>
  <si>
    <t>22306. Interstate Rail Compacts</t>
  </si>
  <si>
    <t>Interstate Rail Compacts Grant Program</t>
  </si>
  <si>
    <t>Grant program to provide financial assistance to entities implementing interstate rail compacts pursuant to section 410 of the Amtrak Reform and Accountability Act of 1997. 
•  (1) replace, rehabilitate, or repair infrastructure, equipment, or a facility used for providing intercity passenger rail service; (2) A project to improve intercity passenger rail service
performance, including reduced trip times, increased train frequencies, higher operating speeds, improved reliability expanded capacity, reduced congestion, electrification, and other
improvements, as determined by the Secretary; (3) A project to expand or establish new intercity passenger rail service; (4) planning, environmental studies, and final design 
• to cover: administration; systems planning, promotion of intercity passenger rail operation; preparation of applications for competitive Federal grant programs; and operations coordination
• $1M award cap</t>
  </si>
  <si>
    <t xml:space="preserve">non-Federal match of not less than 50% of the eligible expenses </t>
  </si>
  <si>
    <t>25101. Corridor Identification and Development Program</t>
  </si>
  <si>
    <t>Corridor Identification and Development Program</t>
  </si>
  <si>
    <t>Within 180 days, establish a program to facilitate the development of intercity passenger rail corridors</t>
  </si>
  <si>
    <t>Amtrak, States, groups of States, entities
implementing interstate compacts, regional passenger rail authorities, regional planning organizations, political subdivisions of a
State, federally recognized Indian Tribes, and other public entities, as determined by the Secretary</t>
  </si>
  <si>
    <t>IV—HIGHWAY AND MOTOR VEHICLE SAFETY</t>
  </si>
  <si>
    <t>25005. Strengthening mobility and revolutionizing transportation grant program</t>
  </si>
  <si>
    <t>Strengthening mobility and revolutionizing transportation grant program</t>
  </si>
  <si>
    <t>SMART Grants to eligible entities to conduct demonstration projects focused on advanced smart city or community technologies and systems in a variety of communities to improve transportation efficiency and safety.
• Proposals evaluated by factors including if the project will (among other criteria) (1) reduce congestion (2) improve cyclist and pedestrian safety (3) connect or expand access for underserved or disadvantaged populations and reduce transportation costs (4) promote connectivity between and among connected vehicles, roadway infrastructure, pedestrians, bicyclists, the public, and transportation systems (5)  improve energy efficiency or reduce pollution (6) increase resiliency
• Eligible projects example: automation, connected vehicles, smart grid, etc.
• Can be used for development and construction phases 
• Division J appropriates $500M ($100Mfor  each year and keeps it available until expended (25005 authorizes that same amount but through FY26)</t>
  </si>
  <si>
    <t>state, political subdivision of a state, tribal government, public transit agency, public tool authority, MPO, a group  those</t>
  </si>
  <si>
    <t xml:space="preserve">geographical diversity of grants;
</t>
  </si>
  <si>
    <t>40% cap on rural communities;
30% cap on midsized communities
30% cap on large communities</t>
  </si>
  <si>
    <t>25006. Electric Vehicle Working Group</t>
  </si>
  <si>
    <t>Electric Vehicle Working Group to make recommendations regarding the development, adoption, and integration of light-, medium-, and heavy-duty electric vehicles into the transportation and energy systems of the United States. 
• Federal agencies, industry, state, local, etc.
Report to congress on: 
• barriers and opportunities to scaling up electric vehicle adoption and an analysis of current efforts to overcome the barriers
• examples of successful public and private models and demonstration projects that encourage electric vehicle adoption
• an analysis of the estimated costs and benefits of any recommendations</t>
  </si>
  <si>
    <t xml:space="preserve">states interests </t>
  </si>
  <si>
    <t xml:space="preserve">(mm) an organization representing State departments of transportation;
(nn) an organization representing State departments of energy or State energy planners; </t>
  </si>
  <si>
    <t xml:space="preserve">Nontraditional and Emerging Transportation Technology Council (federal agencies)
• identify and resolve jurisdictional and regulatory gaps or inconsistencies associated with nontraditional and emerging transportation technologies, modes, or projects </t>
  </si>
  <si>
    <t>25013. Open Research Initiative</t>
  </si>
  <si>
    <t>Transportation, R&amp;D</t>
  </si>
  <si>
    <t>Advanced transportation research initiative</t>
  </si>
  <si>
    <t xml:space="preserve">establish an advanced transportation research pilot program for unsolicited proposals </t>
  </si>
  <si>
    <t>state, local, higher Education, nonprofit, private sector working with one of those</t>
  </si>
  <si>
    <t>Division C - Transit</t>
  </si>
  <si>
    <t xml:space="preserve">30017. Authorizations </t>
  </si>
  <si>
    <t>• FY22:13.35B; FY23: 13.64B, FY24: 13.99B; FY25: 14.27B; FY26: 14.64B from the highway trust fund  to carry out sections 5305, 5307, 5310, 5311, 5312, 5314, 5318, 5335, 5337, 5339, and 5340, section 20005(b) of the Federal Public Transportation Act of 2012 (49 U.S.C. 5303 note; Public Law 112–141), and section 3006(b) of the Federal Public Transportation Act of 2015 (49 U.S.C. 5310 note; Public Law 114–94)</t>
  </si>
  <si>
    <t xml:space="preserve">existing </t>
  </si>
  <si>
    <t xml:space="preserve">30018. Grants for Buses and Bus Facilities </t>
  </si>
  <si>
    <t>• $206,000,000 each fiscal year 
 •Increases the minimum allotment for States
• raises the rural set-aside for competitive grants to 15%
• requires fleet transition plans for applicants of zero-emission vehicles grants. The plan includes (1) strategy for how the applicant intends to use the current application and future acquisitions; (2) addresses the availability of current and future resources to meet costs; (2)considers policy and legislation impacting technologies; (3) evaluation of existing and future facilities and their relationship to the technology transition; (4) describes the partnership of the applicant with the utility or alternative fuel provider of the applicant; (5) examines the impact of the transition on the applicant’s current workforce</t>
  </si>
  <si>
    <t>Title I - Grid Infrastructure and Resiliency</t>
  </si>
  <si>
    <t>A - Grid Infrastructure Resilience and Reliability</t>
  </si>
  <si>
    <t>40101. Preventing outages and enhancing the resilience of the electric grid</t>
  </si>
  <si>
    <t>DOE</t>
  </si>
  <si>
    <t>Resilience, Power, Transmission</t>
  </si>
  <si>
    <t xml:space="preserve">•  grants supplemental to existing hardening efforts of the eligible entity planned for any given year that reduce the risk of any power lines causing a wildfire or increase the ability to reduce the likelihood and consequences of disruptive events
•  States and tribes receive half and the other half goes to other eligible entities 
•  Eligible entities submit applications to DOE
•  Capped at the total amount that the eligible entity has spent in the previous 3 years on efforts to reduce the likelihood and consequences of disruptive events
•  Each FY the state submits an application describing the methods to review grants and the funding distributions 
• Formula based on population, state area, areas with low line per mile ratio, probability of disruptive events, number and severity of events, total spent on mitigation 
• uses: weatherization of equipment; fire-resistant technology; monitoring and controls; utility pole management; relocation of power lines or reconductoring, vegetation and fuel-load management; construction of DERs for enhancing adaptive capacity during events(micro-grids, storage); adaptive technologies; advanced modeling; hardening of power lines, facilities, substations, of other systems; the replacement of old overhead conductors and underground cables
• ineligible: (1) large power generators and (2) large scale battery-storage facilities not used for adaptive capacity during events  </t>
  </si>
  <si>
    <t>Formula</t>
  </si>
  <si>
    <t>grants to eligible entities, States, and Indian Tribes. Entities include:
an electric grid operator; an electricity storage operator; an electricity generator; a transmission owner or operator;  a distribution provider; a fuel supplier; and any other relevant entity, as determined by the Secretary.</t>
  </si>
  <si>
    <t>Yes</t>
  </si>
  <si>
    <t>15% for states/tribes; 100% match required for other eligible entities; small utilities match 1/3 of the grant</t>
  </si>
  <si>
    <t>Small utilities available to receive at least 30% of the amounts made available
(entities selling not more than 4,000,000 megawatt hours per year)
(1) 50 percent is used to award grants to eligible entities under subsection (c); and
(2) 50 percent is used to make grants to States and Indian Tribes under subsection (d).</t>
  </si>
  <si>
    <t xml:space="preserve">40102. Hazard Mitigation Using Disaster Assistance </t>
  </si>
  <si>
    <t>• Adds wildfire as eligible to (42 U.S.C. 5170c(f)(12))
• Includes eligibility for the installation of fire-resistant wires and infrastructure and the undergrounding of wires</t>
  </si>
  <si>
    <t>40103. Electric grid reliability and resilience research, development, and demonstration</t>
  </si>
  <si>
    <t>Program Upgrading Our Electric Grid and Ensuring Reliability and Resiliency</t>
  </si>
  <si>
    <t>•  coordinate and collaborate with electric sector owners and operators— (A) to demonstrate innovative approaches to transmission, storage, and distribution infrastructure to harden and enhance resilience and reliability; and (B) to demonstrate new approaches to enhance regional grid resilience, implemented through States by public and rural electric cooperative entities on a cost-shared basis.</t>
  </si>
  <si>
    <t xml:space="preserve"> a State; a combination of States; an Indian Tribe; a unit of local government; and a public utility commission. </t>
  </si>
  <si>
    <t>Section 988 of the Energy Policy Act of 2005 (42 U.S.C. 16352) shall apply to Federal financial assistance provided under the program</t>
  </si>
  <si>
    <t>Resilience, Power</t>
  </si>
  <si>
    <t xml:space="preserve"> Energy infrastructure resilience framework</t>
  </si>
  <si>
    <t>• DOE, FERC, Homeland, and NAERC work with stakeholder to develop common analytical frameworks, tools, metrics, and data to assess the resilience, reliability, safety, and security of energy infrastructure by inventorying easily transported high-voltage recovery transformers and other required equipment</t>
  </si>
  <si>
    <t>40104. Utility Demand Response</t>
  </si>
  <si>
    <t xml:space="preserve">Consideration of demand-response standard
•"Each electric utility shall promote the use of demand-response and demand flexibility practices by commercial, residential, and industrial consumers to reduce electricity consumption during periods of unusually high demand."
• rate recovery for activities (regulated and allows for unregulated utilities
• Within a year, each state commission must have a hearing on it. Within 2 years, must submit their determination (included unregulated utilities too) </t>
  </si>
  <si>
    <t>PUCs conduct proceeding</t>
  </si>
  <si>
    <t>40105. Siting of interstate electric transmission facilities</t>
  </si>
  <si>
    <t>Power, Transmission</t>
  </si>
  <si>
    <t>• Designation of national interest electric transmission corridors (every 3 years)
• Allows FERC to issue construction permits or modifications of certain interstate transmission facilities if a state PUC 1) does not act within a year, 2) has conditioned its approval in such a manner that the proposed construction or modification will not significantly reduce transmission capacity constraints or congestion in interstate commerce or is not economically feasible; 3)
has denied an application seeking approval pursuant to applicable law</t>
  </si>
  <si>
    <t>40106. Transmission Facilitation Program</t>
  </si>
  <si>
    <t>Transmission Facilitation Program</t>
  </si>
  <si>
    <t>• Creation of a Transmission facilitation revolving loan fund ($10M for each FY 22-26) for DOE to enter into capacity contracts with 1GW+ new or replacement transmission projects. Intent is to encourage other entities to also enter into capacity contracts with the project. 
• Portfolio not to exceed $2.5B in outstanding repayable balances at any time
• Public private partnerships for projects in (not a full list) 1)national interest electric transmission corridor; 2) necessary to accommodate demand across more than 1 state or planning region; 3) is not duplicative of the functions of existing transmission facilities that are the subject of ongoing siting and related permitting proceedings</t>
  </si>
  <si>
    <t>Projects/owners of projects</t>
  </si>
  <si>
    <t>40107. Deployment of technologies to enhance grid flexibility</t>
  </si>
  <si>
    <t>Power, Transmission, Resilience</t>
  </si>
  <si>
    <t xml:space="preserve"> Smart Grid Investment Matching Grant Program</t>
  </si>
  <si>
    <t>FY22</t>
  </si>
  <si>
    <t xml:space="preserve">Amends the Energy Independence and Security Act of 2007 sec 1306 (which provides reimbursement of 20% of qualifying Smart Grid investments)
• Adds eligibility of technologies including software for data analytics, building devices and software, broadband and wireless communications for distribution system components, Grid Enhancing technologies ("dynamic line rating, flow control devices, advanced conductors, network topology optimization, or other hardware, software, and associated protocols applied to existing transmission facilities that increase the operational transfer capacity of a transmission network"), </t>
  </si>
  <si>
    <t>40108. State Energy Security Plans</t>
  </si>
  <si>
    <t>Power, Resilience</t>
  </si>
  <si>
    <t>State Energy Security Plans</t>
  </si>
  <si>
    <t xml:space="preserve">• Financial and technical assistance to states development, implementation, review, and revision State Energy Security Plans. Plans assess physical and cyber risk and propose methods for a state in coordination with infrastructure owners and operators to secure assets, mitigate risk, enhance response, and ensure reliability. 
• Request for assistance must come from the Governor of a State
• non-supplanting requirement for financial assistance
• </t>
  </si>
  <si>
    <t>40108. State Energy Program</t>
  </si>
  <si>
    <t>Power, Buildings, Transportation, Industry</t>
  </si>
  <si>
    <t>State Energy Program</t>
  </si>
  <si>
    <t>• $500M for SEP in FY22 for FY22-26
• Adds a requirement to support transmission and distribution planning including support for local governments, feasibility studies for transmission line routes and alternatives, project design and permits, and stakeholder outreach
• Adds specific eligibility for transportation efficiency including carbon emissions reductions (AFVs and EVs)</t>
  </si>
  <si>
    <t>state energy office</t>
  </si>
  <si>
    <t>waived</t>
  </si>
  <si>
    <t>shall not be subject to the matching requirement _x000D_</t>
  </si>
  <si>
    <t>40110. Power marketing administration transmission borrowing authority</t>
  </si>
  <si>
    <t>• Bonneville Power Administration borrowing authority increased by $10B to "assist in the financing of the construction, acquisition, and replacement of the Federal Columbia River Power System" and implement the administration of the authority
• Requires a BPA financial plan due in FY22, and sets requirements for that process</t>
  </si>
  <si>
    <t>40111. Study of codes and standards for use of energy storage systems across sectors</t>
  </si>
  <si>
    <t>Power, Buildings, Transportation, Resilience</t>
  </si>
  <si>
    <t>• study due 18 months after the date of enactment of the types and commercial applications of codes and standards for stationary, mobile, and uses like repurposing vehicle batteries for stationary uses)</t>
  </si>
  <si>
    <t>40112. Demonstration of electric vehicle battery second-life applications for grid services</t>
  </si>
  <si>
    <t>Power, Transportation, Buildings, Resilience</t>
  </si>
  <si>
    <t>•DOE to enter into an agreement to carry out a project to demonstrate second-life applications of electric vehicle batteries as aggregated energy storage installations to provide services to the electric grid.</t>
  </si>
  <si>
    <t xml:space="preserve"> shall give priority to projects paired with "1 or more facilities that could particularly benefit from increased resiliency and lower energy costs, such as a multi-family affordable housing facility, a senior care facility, and a community health center"</t>
  </si>
  <si>
    <t>40113. Columbia basin power management</t>
  </si>
  <si>
    <t>• Establishes an account for the purposes of making expenditures to increase bilateral transfers of renewable electric generation between the western United States and Canada by constructing transmission facilities that directly or indirectly facilitate non-carbon emitting electric power transactions between them (~$1B - "a non-reimbursable amount equal to the aggregated amount of the Canadian Entitlement during the 5-year period preceding the date of enactment of this Act")
• $100M for rehabilitating and enhancing the John W Keys III pump generating plant
• $10M to conduct a study considering the potential hydroelectric power value to the Pacific Northwest of increasing the coordination of the operation of hydroelectric and water storage facilities on rivers located in the United States and Canada.</t>
  </si>
  <si>
    <t>B - Cybersecurity</t>
  </si>
  <si>
    <t>40121. Enhancing grid security through public-private partnerships</t>
  </si>
  <si>
    <t>DOE, DHS</t>
  </si>
  <si>
    <t xml:space="preserve">Power, Cybersecurity </t>
  </si>
  <si>
    <t>Coordinate with federal agencies, state regulators and other stakeholders to develop voluntary methods for assessing physical and cybersecurity risk, assist with threat assessment, provide technical assistance to utilities, etc.</t>
  </si>
  <si>
    <t>states regulators consulted</t>
  </si>
  <si>
    <t>40122. Energy Cyber Sense Program</t>
  </si>
  <si>
    <t>DHS</t>
  </si>
  <si>
    <t>Energy Cyber Sense Program</t>
  </si>
  <si>
    <t>Voluntary program to test the cybersecurity of products and technologies intended for use in the energy sector, including in the bulk-power system.</t>
  </si>
  <si>
    <t xml:space="preserve">40123. Incentives for Cybersecurity Investments </t>
  </si>
  <si>
    <t>FERC</t>
  </si>
  <si>
    <t>• defines advanced cybersecurity technology
• requires a FERC study to identify incentive-based, including performance based, rate treatments for the transmission and sale of electricity that could be used to encourage cybersecurity investments and participation by public utilities in cybersecurity threat information sharing programs. 
•Within a year of the study, FERC shall issue a rule related to those outcomes provided it is just, reasonable and not unduly discriminatory or preferential</t>
  </si>
  <si>
    <t xml:space="preserve">40124. Rural and municipal utility advanced cybersecurity grant and technical assistance program. </t>
  </si>
  <si>
    <t>DOE, DHS, FERC</t>
  </si>
  <si>
    <t>Rural and Municipal Utility Advanced Cybersecurity Grant and Technical Assistance Program</t>
  </si>
  <si>
    <t>• provide grants and technical assistance to, and enter into cooperative agreements with, eligible entities to protect against, detect, respond to, and recover from cybersecurity threats</t>
  </si>
  <si>
    <t xml:space="preserve">Competitive </t>
  </si>
  <si>
    <t>Utilities (incl. Public Power)</t>
  </si>
  <si>
    <t xml:space="preserve">(A) a rural electric cooperative; (B) a utility owned by a political subdivision of a State, such as a municipally owned electric utility; (C) a utility owned by any agency, authority, corporation, or instrumentality of 1 or more political subdivisions of a State; (D) a not-for-profit entity that is in a partnership with no fewer than 6 entities described in subparagraph (A), (B), or (C); and
(E) an investor-owned electric utility that sells less than 4,000,000 megawatt hours of electricity per year. </t>
  </si>
  <si>
    <t xml:space="preserve">40125. Enhanced Grid Security </t>
  </si>
  <si>
    <t>Power, Cybersecurity, R&amp;D</t>
  </si>
  <si>
    <t>Cybersecurity for the energy sector research, development, and demonstration program</t>
  </si>
  <si>
    <t>• Program to: to develop advanced cybersecurity applications and technologies for the energy sector, to leverage electric grid architecture as a means to assess risks, perform pilot demonstration projects, develop workforce development curricula, and improve supply chain concepts for secure design.</t>
  </si>
  <si>
    <t>states consulted</t>
  </si>
  <si>
    <t>Power, Cybersecurity, Resilience</t>
  </si>
  <si>
    <t>Energy sector operational support for cyber resilience program</t>
  </si>
  <si>
    <t xml:space="preserve">•test and enhance emergency response capabilities of DOE, test coordination of national labs and industry expand cooperation of DOE and intelligence community, provide technical assistance </t>
  </si>
  <si>
    <t>40126. Modeling and assessing energy infrastructure risk</t>
  </si>
  <si>
    <t>advanced energy security program</t>
  </si>
  <si>
    <t xml:space="preserve">•  increase the functional preservation of electric grid operations or natural gas and oil operations in the face of natural and humanmade threats and hazards, including electric magnetic pulse and geomagnetic disturbances
• identify vulnerabilities;  provide modeling at the national level to predict impacts from natural or human-made events; add physical security to the cybersecurity maturity model; conduct exercises and assessments; conduct research on hardening solutions; conduct research on mitigation and recovery solutions; provide technical assistance to States and other entities for standards and risk analysis. </t>
  </si>
  <si>
    <t xml:space="preserve">states included </t>
  </si>
  <si>
    <t>states eligible for technical assistance</t>
  </si>
  <si>
    <t>Title II - Supply Chains For Clean Energy Technologies</t>
  </si>
  <si>
    <t>40201. Earth Mapping Resource Initiative</t>
  </si>
  <si>
    <t>USGS</t>
  </si>
  <si>
    <t>Minerals, Industry</t>
  </si>
  <si>
    <t>Earth Mapping Resource Initiative</t>
  </si>
  <si>
    <t>Carry out the resources and mapping mission of the United States Geological Survey. Within 10 years, complete a comprehensive national modern surface and subsurface mapping and data integration effort</t>
  </si>
  <si>
    <t>All</t>
  </si>
  <si>
    <t>40202. National Cooperative Geologic Mapping Program</t>
  </si>
  <si>
    <t>National Cooperative Geologic Mapping Program</t>
  </si>
  <si>
    <t>Adds abandoned mine land and mine waste geologic to the mapping program. Prioritizes abandoned mines with critical minerals</t>
  </si>
  <si>
    <t>40204. USGS Energy and Minerals Research Facility</t>
  </si>
  <si>
    <t>Funds the design, construction, and tenant build-out of a facility to support energy and minerals research and appurtenant associated structures</t>
  </si>
  <si>
    <t>40205. Rare earth elements demonstration facility</t>
  </si>
  <si>
    <t>R&amp;D, Minerals, Industry, Power</t>
  </si>
  <si>
    <t>Funds the design, construction, and tenant build-out of a facility to demonstrate the commercial feasibility of a full-scale integrated rare earth element extraction and separation facility and refinery</t>
  </si>
  <si>
    <t>40207. Battery processing and manufacturing</t>
  </si>
  <si>
    <t>DOE (FE)</t>
  </si>
  <si>
    <t xml:space="preserve">Manufacturing, R&amp;D, Storage, Recycling </t>
  </si>
  <si>
    <t>Battery Material Processing Grant Program</t>
  </si>
  <si>
    <t xml:space="preserve">Establishes a Battery Material Processing Grant Program in the DOE Office of Fossil Energy 
• $600M per year
• 1 or more demonstration projects in the US for the processing of battery materials ($50M)
•  construct 1 or more new commercial-scale battery material processing facilities in the US ($100M)
•  to retool, retrofit, or expand 1 or more existing battery material processing facilities located in the US ($50M) </t>
  </si>
  <si>
    <t>DOE (EERE)</t>
  </si>
  <si>
    <t>Battery Manufacturing and Recycling Grant Program</t>
  </si>
  <si>
    <t>Establishes a Battery Manufacturing and Recycling Grant Program in the DOE office of EERE 
• $600M per year
• 1 or more demonstration projects for advanced battery component manufacturing, advanced battery manufacturing, and recycling  ($50M)
• construct 1 or more new commercial-scale advanced battery component manufacturing, advanced battery manufacturing, or recycling facilities in the US ($100M)
• to retool, retrofit, or expand 1 or more existing facilities located in the US for advanced battery component manufacturing, advanced battery manufacturing, and recycling  ($50M)</t>
  </si>
  <si>
    <t xml:space="preserve">Manufacturing, R&amp;D, Storage, Recycling, Industry </t>
  </si>
  <si>
    <t>Lithium-ion battery recycling prize competition</t>
  </si>
  <si>
    <t>Lithium-ion battery recycling prize competition under 15 U.S.C. 3719</t>
  </si>
  <si>
    <t>Manufacturing, R&amp;D, Storage, Recycling, Industry</t>
  </si>
  <si>
    <t>Battery and Critical Mineral Recycling</t>
  </si>
  <si>
    <t>Battery recycling research, development, and demonstration grants
• award multiyear grants to eligible entities to create innovative and practical approaches to
increase the reuse and recycling of batteries</t>
  </si>
  <si>
    <t xml:space="preserve">(i) an institution of higher education; (ii) a National Laboratory; (iii) a Federal research agency; (iv) a State research agency; (v) a nonprofit organization; (vi) an industrial entity; (vii) a manufacturing entity; (viii) a private battery-collection entity; (ix) an entity operating 1 or more battery recycling
activities;
(x) a State or municipal government entity; (xi) a battery producer; (xii) a battery retailer; or (xiii) a consortium of 2 or more entities described </t>
  </si>
  <si>
    <t>State and Local Programs 
• awards to States and units of local government to assist in the establishment or enhancement of State battery collection, recycling, and reprocessing programs</t>
  </si>
  <si>
    <t>Retailers as collection points
• award grants to retailers that sell covered batteries or covered battery-containing products to establish and implement a system for the acceptance and collection of covered batteries and covered battery-containing products, as applicable, for reuse, recycling, or proper disposal</t>
  </si>
  <si>
    <t>retailers that sell covered batteries or covered battery-containing products</t>
  </si>
  <si>
    <t xml:space="preserve">Taskforce on Producer Responsibility </t>
  </si>
  <si>
    <t>Taskforce on Producer Responsibility 
• to develop an extended battery producer responsibility framework to: (i) addresses battery recycling goals, cost structures for mandatory recycling, reporting requirements, product design, collection models, and transportation of collected materials; (ii) provides sufficient flexibility to allow battery producers to determine cost-effective strategies for compliance with the framework; and (iii) outlines regulatory pathways for effective recycling.
• issue a report within a year</t>
  </si>
  <si>
    <t>States included as eligible taskforce members</t>
  </si>
  <si>
    <t>40208. Electric drive vehicle battery recycling and second-life applications program</t>
  </si>
  <si>
    <t>EVs, Storage, R&amp;D</t>
  </si>
  <si>
    <t>Electric drive vehicle battery recycling and second-life applications program</t>
  </si>
  <si>
    <t>Electric drive vehicle battery second-life applications and recycling (Section 641 of the Energy Independence and Security Act of 2007 (42 U.S.C. 17231)
•award multiyear grants on a competitive, merit-reviewed basis to eligible entities
(I) to conduct research, development, testing, and evaluation of solutions to increase the rate and productivity of electric drive vehicle battery recycling; and 
(II) for research, development, and demonstration projects to create innovative and practical approaches to increase the recycling and second-use of electric drive vehicle batteries
• DOE issue a report within a year on viable market opportunities available for the recycling, second-use, and manufacturing of electric drive vehicle batteries in the United States</t>
  </si>
  <si>
    <t xml:space="preserve">(1)Institutions of higher education (2)National Laboratories (3)Nonprofit and for-profit private entities. (4)State and local governments. (5)Consortia of those entities </t>
  </si>
  <si>
    <t>40209. Advanced energy manufacturing and recycling grant program</t>
  </si>
  <si>
    <t>Manufacturing,  Recycling, Transportation, Power</t>
  </si>
  <si>
    <t>Advanced energy manufacturing and recycling grant program</t>
  </si>
  <si>
    <t>Within 180 days, establish a program to award grants to eligible entities that re-equips, expands, or establishes a manufacturing or recycling facility for the production or recycling, as applicable, of "advanced energy property"; or re-equips an industrial or manufacturing facility with equipment designed to reduce the greenhouse gas emissions of that facility substantially below the greenhouse gas emissions...through the installation of—(I) low- or zero-carbon process heat systems; (II) carbon capture, transport, utilization, and storage systems; (III) technology relating to energy efficiency and reduction in waste from industrial processes; or (IV) any other industrial technology that significantly reduces greenhouse gas emissions, as determined by the Secretary;
• advanced energy property (not entire list)-  RE, fuel cells, microturbines, energy storage, electric grid modernization equipment or components, property designed for CCUS; property for renewable fuels, EVs, EVSE, etc.</t>
  </si>
  <si>
    <t>manufacturing firm—(A) the gross annual sales of which are less than $100,000,000; (B) that has fewer than 500 employees at the plant site of the manufacturing firm; and (C) the annual energy bills of which total more than $100,000 but less than $2,500,000</t>
  </si>
  <si>
    <t>GHGs, job creation, Low-income, dislocated workers, commercial deployment, LCOE</t>
  </si>
  <si>
    <t>Priority to 1) higher net impact in avoiding or
reducing anthropogenic emissions 2)higher level of domestic job creation 3)will result in a higher level of job creation in the vicinity of the project (esp. for low-income individuals and dislocated workers)</t>
  </si>
  <si>
    <t>40210. Critical materials mining and recycling research</t>
  </si>
  <si>
    <t xml:space="preserve">R&amp;D, Minerals </t>
  </si>
  <si>
    <t>Grant program for processing of critical minerals and development of critical minerals and metals</t>
  </si>
  <si>
    <t>FY22-24</t>
  </si>
  <si>
    <t>• Grants to eligible entities on advancing mining research and critical minerals 
• Training for undergraduate and graduate students
• shall not exceed $10M grants
• $100M for each FY 22-24</t>
  </si>
  <si>
    <t>(A) Institutions of higher education; (B) National Laboratories; (C) Nonprofit organizations; (D) Consortia of those entities</t>
  </si>
  <si>
    <t>Title III - Fuels and Technology Infrastructure Investments</t>
  </si>
  <si>
    <t>A - Carbon Capture, Utilization, Storage, and Transportation Infrastructure</t>
  </si>
  <si>
    <t>40302. Carbon utilization program</t>
  </si>
  <si>
    <t>CCUS, Industry, Power</t>
  </si>
  <si>
    <t>FY22: $41M; FY23: 65.25M; FY24:66.56M; FY25:$67.94M; FY26: $69.38M
• Grants to procure and use commercial or industrial products that (i) use or are derived from anthropogenic carbon oxides; and (ii) demonstrate significant net reductions in lifecycle greenhouse gas emissions compared to incumbent technologies, processes, and products.</t>
  </si>
  <si>
    <t>State, a unit of local government, a public utility or agency. _x000D_</t>
  </si>
  <si>
    <t>40304. Carbon dioxide transportation infrastructure finance and innovation</t>
  </si>
  <si>
    <t>Carbon Dioxide Transportation Infrastructure
Finance and Innovation Program</t>
  </si>
  <si>
    <t>CIFIA Program - 
• Financing available to companies building CO2 transport infrastructure for projects greater than $100M. 
• grants under Sec 999D for a portion of the cost differential associated with initial excess capacity 
• $600M for each FY22 and FY23; $300M for each FY24 through FY26</t>
  </si>
  <si>
    <t>$3M fee at closing. 
$9M cap on appropriated dollars</t>
  </si>
  <si>
    <t>40305. Carbon storage validation and testing</t>
  </si>
  <si>
    <t>Large-scale carbon storage commercialization program</t>
  </si>
  <si>
    <t>Large-scale carbon storage commercialization program. 
• Provides funding for the development of new or expanded commercial large-scale carbon sequestration projects and associated carbon dioxide transport infrastructure, including funding for the feasibility, site characterization, permitting, and construction stages of project development</t>
  </si>
  <si>
    <t>40306. Secure geologic storage permitting</t>
  </si>
  <si>
    <t>Geologic sequestration permitting
•  appropriations for permitting Class VI wells -  5,000,000 for each of FY22-26 
•  Establishes state permitting program grants ($50M for FY22-26)</t>
  </si>
  <si>
    <t xml:space="preserve">Funding for state permitting </t>
  </si>
  <si>
    <t>40308. Carbon removal</t>
  </si>
  <si>
    <t>CCUS, Industry</t>
  </si>
  <si>
    <t>Regional Direct Air Capture Hubs</t>
  </si>
  <si>
    <t>•  funding for eligible projects that contribute to the development of four regional direct air capture (DAC) hubs within 3 years
•  Those hubs are "a network of direct air capture projects, potential carbon dioxide utilization off-takers, connective carbon dioxide transport infrastructure, subsurface resources, and sequestration infrastructure located within a region."
• Must be able to "capture and sequester, utilize, or sequester and utilize at least 1,000,000 metric tons of carbon dioxide from the atmosphere annually from a single unit or multiple interconnected
units"
•  The Secretary may make grants to, or enter into cooperative agreements or contracts with, each eligible projects selected to accelerate commercialization of, and demonstrate the removal, processing, transport, sequestration, and utilization of, carbon dioxide captured from the atmosphere.</t>
  </si>
  <si>
    <t xml:space="preserve">carbon; geographic; local industry; scalability; employment </t>
  </si>
  <si>
    <t>Carbon intensity of local industry; 
geographic diversity, 
carbon potential, 
at least 2 regional direct air capture hubs located in economically distressed communities in the regions of the United States with high levels of coal, oil, or natural gas resources</t>
  </si>
  <si>
    <t>B - Hydrogen Research and Development</t>
  </si>
  <si>
    <t>40313. Clean hydrogen research and development program</t>
  </si>
  <si>
    <t>Industry, R&amp;D</t>
  </si>
  <si>
    <t>Clean Hydrogen R&amp;D Program</t>
  </si>
  <si>
    <t>•  Provides scope for DOE's hydrogen research and activities including defining "clean hydrogen" by reference under 822(a).
•  DOE must develop targets within 180 days for short, mid and long-term challenges 
•  Division J appropriates $500M</t>
  </si>
  <si>
    <t>40314. Additional clean hydrogen programs</t>
  </si>
  <si>
    <t>Industry, Power, Buildings, R&amp;D</t>
  </si>
  <si>
    <t>Regional Hydrogen Hubs</t>
  </si>
  <si>
    <t xml:space="preserve">• Within 180 days, DOE shall solicit proposals for at least four regional clean hydrogen hubs, and select them within a year. 
• DOE may make grants to each regional clean hydrogen hub selected to accelerate commercialization of, and demonstrate the production, processing, delivery, storage, and end-use of, clean hydrogen.
• Roadmap - develop a technologically and economically feasible national strategy and roadmap to facilitate widescale production, processing, delivery, storage, and use of clean hydrogen
• Feedstock (at least): 1 hub from fossil fuels; 1 hub from RE; 1 hub from nuclear
• End use (at least):1 for electricity; 1 for industrial; 1 for residential and commercial heating; 1 for transportation
Part of Office of Clean Energy Demonstrations
-Authorizes and Division J Title III appropriates $500 million total grant program for innovation in clean hydrogen production (to be given to manufacturing and recycling facilities)
</t>
  </si>
  <si>
    <t>Criteria</t>
  </si>
  <si>
    <t>feedstock diversity, end use diversity, geographic diversity, hubs in gas-producing regions, employment,</t>
  </si>
  <si>
    <t>Clean hydrogen technology recycling research, development, and demonstration program</t>
  </si>
  <si>
    <t>Clean hydrogen technology recycling research, development, and demonstration program
• award multiyear grants to, and enter into contracts, cooperative agreements, other agreements for demonstration projects to create innovative and practical approaches to increase the reuse and recycling of clean hydrogen technologies</t>
  </si>
  <si>
    <t>Up to DOE</t>
  </si>
  <si>
    <t>Clean hydrogen electrolysis program</t>
  </si>
  <si>
    <t>Clean hydrogen electrolysis program
• Secretary shall fund demonstration projects— (1) to demonstrate technologies that produce clean hydrogen using electrolyzers; and (2) to validate information on the cost, efficiency, durability, and feasibility of commercial deployment of the technologies
• grants, cooperative agreements, contracts</t>
  </si>
  <si>
    <t>40315. Clean hydrogen production qualifications</t>
  </si>
  <si>
    <t>• Within 180 days, after consulting EPA and stakeholders, DOE will develop an initial standard  for the carbon intensity of clean hydrogen production related to this title (adjusted after five years)
• define the term ‘clean hydrogen’ to mean hydrogen produced with a carbon intensity equal to or less than 2 kilograms of carbon dioxide-equivalent produced at the site of production per kilogram of hydrogen produced</t>
  </si>
  <si>
    <t>C - Nuclear Energy Infrastructure</t>
  </si>
  <si>
    <t>40321. Infrastructure planning for micro and small modular nuclear reactors.</t>
  </si>
  <si>
    <t>Power, Nuclear, Resilience</t>
  </si>
  <si>
    <t>• Report to congress within 180 days on "how the Department could enhance energy resilience and reduce carbon emissions with the use of micro-reactors and small modular reactors"
• Financial and technical assistance for siting microreactors, small modular reactors, and advanced nuclear reactors. the Secretary shall conduct robust community engagement and outreach for the purpose of identifying levels of interest in isolated communities. (50% cap on financial assistance funding to national labs)</t>
  </si>
  <si>
    <t>40323. Civil nuclear credit program</t>
  </si>
  <si>
    <t>Power, Nuclear</t>
  </si>
  <si>
    <t>Civil Nuclear Credit Program</t>
  </si>
  <si>
    <t>Financial support to keep existing but non-competitive nuclear plants online
• Operators certify plants based on information about cost, avoided air pollution, the source of the reactor’s uranium, and payments from state programs such as zero-emission credits or clean energy contracts.
• Once certified, reactors must then submit sealed bids requesting credits on a price per megawatt-hour basis. 
• The Secretary of Energy will then use an auction process to allocate credits</t>
  </si>
  <si>
    <t xml:space="preserve">Credit Auction </t>
  </si>
  <si>
    <t>Nuclear units</t>
  </si>
  <si>
    <t>D - Hydropower</t>
  </si>
  <si>
    <t>40333. Maintaining and enhancing hydroelectricity incentives</t>
  </si>
  <si>
    <t>Power, Hydro</t>
  </si>
  <si>
    <t>• DOE to make incentive payments to the owners or operators of qualified hydroelectric facilities for capital improvements  (1) improving grid resiliency (2)improving dam safety to ensure acceptable performance under all loading conditions (3) environmental improvements
• incentives shall not exceed 30 percent of the costs / capped at $5M</t>
  </si>
  <si>
    <t>40334. Pumped storage hydropower wind and solar integration and system reliability initiative</t>
  </si>
  <si>
    <t>Amends Section 3201 of the Energy Policy Act of 2020
• Not later than September 30, 2023, DOE to enter into an agreement with an eligible entity to provide financial assistance to carry out project design, transmission studies, power market assessments, and permitting for a pumped storage hydropower project to facilitate the long-duration storage of intermittent renewable electricity
• Project must:  1000+ MW of capacity, able to use an organized market, able to store RE from tribal projects, and has a preliminary FERC permit 
• $2M for each year FY22-26</t>
  </si>
  <si>
    <t xml:space="preserve">an electric utility, including (I) a political subdivision of a State, such as a municipally owned electric utility; or (II) an instrumentality of a State composed of
municipally owned electric utilities); (ii) an electric cooperative; (iii) an investor-owned utility; an Indian Tribe or Tribal organization; a State energy office; an institution of higher education; and a consortium of those entities </t>
  </si>
  <si>
    <t>yes</t>
  </si>
  <si>
    <t>eligible entity ...shall provide matching funds equal to or greater than the amount of financial assistance provided</t>
  </si>
  <si>
    <t>40342. Clean energy demonstration program on current and former mine land</t>
  </si>
  <si>
    <t>Power, Just Transition</t>
  </si>
  <si>
    <t>Establishes a program to demonstrate the technical and economic viability of carrying out clean energy projects (Solar, micro-grid, geothermal, DAC, fossil-fueled generation with CCUS, storage, advanced nuclear) on current and former mine land in a compatible manner with any existing operations 
• Technical assistance to applicants</t>
  </si>
  <si>
    <t xml:space="preserve">project prioritization </t>
  </si>
  <si>
    <t>Jobs, emissions, economic development, located in economically distressed areas, dislocated manufacturing or coal workers, potential for innovation, permitting timeline</t>
  </si>
  <si>
    <t>Title V - Energy Efficiency &amp; Building Infrastructure</t>
  </si>
  <si>
    <t>A- Residential and Commercial Energy Efficiency</t>
  </si>
  <si>
    <t>40502. Energy efficiency revolving loan fund capitalization grant program</t>
  </si>
  <si>
    <t xml:space="preserve">Buildings, Efficiency </t>
  </si>
  <si>
    <t>Energy efficiency revolving loan fund capitalization grant program</t>
  </si>
  <si>
    <t xml:space="preserve">
• Within 1 year, DOE shall establish a revolving loan program under the SEP program to provide capitalization grants to states for them to issue loan and grants including (1) loans for commercial and residential energy audits (2) loans for residential and commercial energy retrofits (3) Grants 
and technical assistance to a businesses with less than 500 employees that owns or operates commercial buildings or low income individuals 
• 40% of DOE funding runs through the SEP formula. Following that distribution, unclaimed funding will be redistributed. 
• The remaining 60% will provide supplemental capitalization grants (Capped at $15M) to priority States in accordance with an allocation formula determined by DOE. Priority states means "the 15 States with the highest annual per-capita combined residential and commercial sector energy consumption, as most recently reported by the Energy Information Administration" OR "the 15 States with the highest annual per-capita energy-related carbon dioxide emissions by State, as most recently reported by the Energy Information Administration."
• State submits applications for the grant 
• States must launch program (using funds) within 180 days of receipt of the capitalization grant
• Audits are for EE measures, building controls, provide scoring, provide comparison to other buildings, 
• States can use up to 25% of capitalization grant to provide grants or technical assistance
• States can use up to 10% for administrative costs
• 2 years after receiving the capitalization grant, each state reports on outcomes </t>
  </si>
  <si>
    <t>State Energy Office (via SEP)</t>
  </si>
  <si>
    <t>Not addressed in the bill</t>
  </si>
  <si>
    <t>Priority states</t>
  </si>
  <si>
    <t>60% of funds are made available as supplemental capitalization grants (Capped at $15M) to priority States in accordance with an allocation formula determined by DOE. Priority states means "the 15 States with the highest annual per-capita combined residential and commercial sector energy consumption, as most recently reported by the Energy Information Administration" OR "the 15 States with the highest annual per-capita energy-related carbon dioxide emissions by State, as most recently reported by the Energy Information Administration."</t>
  </si>
  <si>
    <t>40503. Energy auditor training grant program</t>
  </si>
  <si>
    <t>Buildings, Workforce</t>
  </si>
  <si>
    <t>Energy Efficiency Revolving Loan Fund Capitalization Grant Program</t>
  </si>
  <si>
    <t xml:space="preserve">• Competitive grant through SEP competitive to award grants to states for training energy auditors and individuals to survey commercial and residential buildings.
• States submit an energy auditor training program plan that include curriculum, covered certifications, per individual cost, a plan to connect trainees with employment, and other information DOE requires
• Awards will account for state population, but not exceed $2M
• 10% for state administration 
</t>
  </si>
  <si>
    <t>a State that— (A) has a demonstrated need for assistance for training
energy auditors; and (B) meets any additional criteria determined necessary</t>
  </si>
  <si>
    <t>B- Buildings</t>
  </si>
  <si>
    <t>40511. Cost-effective codes implementation for efficiency and resilience</t>
  </si>
  <si>
    <t>DOE Building Technologies Office shall award grants to enable sustained cost-effective implementation and updated building energy codes.
• Grant uses: 1) to create or enable State or regional partnerships to provide training and materials to builders, contractors and code officials; 2) to collect and disseminate quantitative data on construction and codes implementation, including code pathways, performance metrics, and technologies used; 3) to develop and implement a plan for highly effective codes implementation, including measuring compliance 4) to address various implementation needs in rural, suburban, and urban areas 5)  to implement updates in energy codes
• Division J appropriates $45M per year</t>
  </si>
  <si>
    <t xml:space="preserve">(1) a relevant State agency and 
(2) a partnership between a state agency and 1 or more of the following entities: Local building code agencies;  Codes and standards developers; Associations of builders and design and construction professionals; Local and utility energy efficiency programs; Consumer, energy efficiency, and environmental advocates; Other entities, as determined by the Secretary. </t>
  </si>
  <si>
    <t>Grant Prioritization</t>
  </si>
  <si>
    <t>(a) prospective energy savings (b) long-term sustainability of the measures (c) prospective benefits related to resilience, peak load reduction, health and safety, environmental performance (d) capacity of entity to carry out the project</t>
  </si>
  <si>
    <t>40512. Building, training, and assessment centers</t>
  </si>
  <si>
    <t>• provide grants to institutions of higher education to establish building training and assessment centers. 
• Activities include (not a full list) (1)identify opportunities for EE optimization (2) promote emerging concepts and technologies in commercial and institutional buildings (3) train engineers, architects, building scientists, building energy permitting and enforcement officials, and building technicians in energy-efficient design and operation (4) promote DER R&amp;D for heat and electricity
• $10M per year FY22-26</t>
  </si>
  <si>
    <t xml:space="preserve">institutions of higher education including Tribal Colleges or Universities </t>
  </si>
  <si>
    <t>Co-location priority</t>
  </si>
  <si>
    <t>To the maximum extent practicable, building, training, and assessment centers established under
this section shall be collocated with industrial research and assessment centers</t>
  </si>
  <si>
    <t>40513. Career skills training</t>
  </si>
  <si>
    <t>Provides grants to cover a share of costs for training programs under which students concurrently receive classroom instruction and on-the-job training for the purpose of obtaining an industry-related certification to install energy efficient buildings technologies</t>
  </si>
  <si>
    <t xml:space="preserve">nonprofit partnership that (1) includes the equal participation of industry, including public or private employers, and labor organizations...(2) may include workforce investment boards, community based organizations, qualified service and conservation corps, educational institutions, small businesses, cooperatives, State and local veterans agencies, and veterans service organizations; and (3) demonstrates (A) experience in implementing worker skills training and education programs; (B) the ability to identify and involve...target populations of individuals who would benefit from training... and (C) the ability to help individuals achieve economic self-sufficiency. </t>
  </si>
  <si>
    <t xml:space="preserve">C - Industrial Energy Efficiency </t>
  </si>
  <si>
    <t>40521. Future of industry program and industrial research and assessment centers</t>
  </si>
  <si>
    <t>DOE, SBA</t>
  </si>
  <si>
    <t xml:space="preserve">Industry, Buildings, </t>
  </si>
  <si>
    <t xml:space="preserve">Amends Section 452 of the Energy Independence and Security Act of 2007 (42 U.S.C. 17111)
• $150M ($30M a year) for institutions of higher education to set up industrial research and assessment centers to perform energy efficiency audits on small- and medium-sized manufacturing plants. 
•  Following those assessments, $400M ($80M a year) for implementation grants. 
•  Grants capped at $300K
•  DOE to provide funding to establish additional industrial research and assessment centers
at trade schools, community colleges, and union training programs
• Internships and apprenticeships included 
• SBA to expedite small business loans to implement assessments </t>
  </si>
  <si>
    <t>centers shall coordinate with entities including states</t>
  </si>
  <si>
    <t>40522. Sustainable manufacturing initiative</t>
  </si>
  <si>
    <t xml:space="preserve">Industry, Buildings, Manufacturing </t>
  </si>
  <si>
    <t>• On the request of a manufacturer, DOE's EERE shall carry out onsite technical assessments to maximize EE, prevent pollution, minimize waste, improve water efficiency, conserve natural resources, and other DOE goals (includes AMO, BTO, and FEMP programs)
• As part of the industrial efficiency programs, DOE shall carry out a joint industry-government
partnership program to research, develop, and demonstrate new sustainable manufacturing and industrial technologies and processes</t>
  </si>
  <si>
    <t>40534. State manufacturing leadership</t>
  </si>
  <si>
    <t xml:space="preserve">Industry, Manufacturing </t>
  </si>
  <si>
    <t>• Grants to states to establish programs to be used as models for supporting the implementation of smart manufacturing technologies
• $2M maximum grant / 3 year maximum term
• Uses:  to facilitate access to high-performance computing resources for small and medium manufacturers; and (2) to provide assistance to small and medium manufacturers to implement smart manufacturing technologies and practices.</t>
  </si>
  <si>
    <t>state match</t>
  </si>
  <si>
    <t>Application criteria</t>
  </si>
  <si>
    <t>(A) technical merit, innovation, and impact;
(B) research approach, workplan, and deliverables;
(C) academic and private sector partners; and
(D) alternate sources of funding.</t>
  </si>
  <si>
    <t>D - Schools and Nonprofits</t>
  </si>
  <si>
    <t>40541. Grants for energy efficiency improvements and renewable energy improvements at public school facilities</t>
  </si>
  <si>
    <t>Schools, Buildings, Transportation, Power</t>
  </si>
  <si>
    <t>Grants for school energy improvements (EE, RE, AFV, EVs)
• $100M a year
• 5% cap on operation and maintenance training
• 3% cap on developing a continuing education curriculum</t>
  </si>
  <si>
    <t xml:space="preserve">‘‘eligible entity’’ means a consortium of— (A) 1 local educational agency; and (B) 1 or more— (i) schools; (ii) nonprofit organizations that have the knowledge and capacity to partner and assist with energy improvements; (iii) for-profit organizations that have the knowledge and capacity to partner and assist with energy
improvements; or (iv) community partners that have the knowledge and capacity to partner and assist with energy improvements. </t>
  </si>
  <si>
    <t>40542. Energy efficiency materials pilot program</t>
  </si>
  <si>
    <t>Energy efficiency materials pilot program</t>
  </si>
  <si>
    <t>Pilot program to award grants to nonprofits for efficiency retrofits 
• Maximum grant is $200,000.</t>
  </si>
  <si>
    <t>nonprofits</t>
  </si>
  <si>
    <t>D - Misc</t>
  </si>
  <si>
    <t>40551. Weatherization assistance program</t>
  </si>
  <si>
    <t>Buildings, Equity</t>
  </si>
  <si>
    <t>Weatherization Assistance Program</t>
  </si>
  <si>
    <t>Davis-Bacon requirements apply for funding to multi-family units (5+)</t>
  </si>
  <si>
    <t>Davis-Bacon Wage Requirements</t>
  </si>
  <si>
    <t>40552. Energy Efficiency and Conservation Block Grant Program</t>
  </si>
  <si>
    <t>Buildings, Power, Transportation</t>
  </si>
  <si>
    <t>Energy Efficiency and Conservation Block Grant Program</t>
  </si>
  <si>
    <t>Amends Section 544 of the Energy Independence and Security Act of 2007
• $550M
• Adds: "programs for financing energy efficiency, renewable energy, and zero-emission transportation (and associated infrastructure), capital investments, projects, and programs, which may include loan programs and performance contracting programs, for leveraging of additional public and private sector funds, and programs that allow rebates, grants, or other incentives for the purchase and installation of energy efficiency, renewable energy, and zero-emission transportation (and associated infrastructure) measures"</t>
  </si>
  <si>
    <t>Existing / Reauthorized</t>
  </si>
  <si>
    <t>From Energy Independence and Security Act of 2007:
• State; an eligible unit of local government; and an Indian tribe. 
• 68% to local governments. 28% to states. Of the amount to states, not less than 1.25 percent to each State; and (2) the remainder among the States, based on a formula to be established by the Secretary that takes into account— (A) the population of each State; and (B) any other criteria that the Secretary determines to be appropriate
• A State that receives a grant under the program shall use not less than 60 percent of the amount received to provide subgrants to units of local government in the State that are not eligible units of local government.
•</t>
  </si>
  <si>
    <t>40554. Assisting Federal Facilities with Energy Conservation Technologies grant program</t>
  </si>
  <si>
    <t xml:space="preserve">Assisting Federal Facilities with Energy Conservation Technologies (AFFECT) grant program </t>
  </si>
  <si>
    <t>Authorizes $250M in grants to federal agencies to leverage private capital to make energy and water efficiency facility improvements.</t>
  </si>
  <si>
    <t>40555. Rebates</t>
  </si>
  <si>
    <t>Appropriates funding for 2 rebate programs from the Energy Act of 2020
• $10M - extended Product System Rebate Program for replacing energy inefficient electric motors 
•$10M to Energy Efficient Transformer Rebate Program to encourage replacement of energy inefficient transformers</t>
  </si>
  <si>
    <t>40556. Model guidance for combined heat and power systems and waste heat to power systems</t>
  </si>
  <si>
    <t>•Within 180 days, FERC must review existing rules and procedures relating to interconnection service and additional services (supplementary power, backup or standby power, maintenance power, or interruptible power to an electric consumer by an electric utility) throughout the US for electric generation with nameplate capacity up to 150MW. 
• Within 180 days, DOE (and FERC) to issue model guidance to state regulators</t>
  </si>
  <si>
    <t>Title VII - Abandoned Mine Reclamation</t>
  </si>
  <si>
    <t xml:space="preserve">Remediation </t>
  </si>
  <si>
    <t>Abandoned Mine Reclamation Fund</t>
  </si>
  <si>
    <t>Until Expended; or 20 years after enactment</t>
  </si>
  <si>
    <t>• to provide annual grants to States and Indian Tribes for abandoned mine land and water reclamation projects under the Surface Mining Control and Reclamation Act of 1977
• DOI Secretary must submit a report within 6 years of enactment on progress, with input from the States and Tribes
• minimum $20M award, unless the project requires less</t>
  </si>
  <si>
    <t>(A) States and Indian Tribes that have a State or Tribal program approved under section 405 of the Surface Mining Control and Reclamation Act of 1977 (30 U.S.C. 1235); 
(B) States and Indian Tribes that are certified under section 411(a) of that Act (30 U.S.C. 1240a(a)); and 
(C) States and Indian Tribes that are referred to in section 402(g)(8)(B) of that Act (30 U.S.C. 1232(g)(8)(B)).
• In applying for grants under paragraph (1), States and Indian Tribes may aggregate bids into larger statewide or regional contracts 
•  allocates grants to States and Indian Tribes on an equal annual basis over a 15-year period beginning on the date of enactment of this Act, based on the number of tons of coal historically produced in the States or from the applicable Indian land before August 3, 1977, regardless of whether the State or Indian Tribe is certified under section H. R. 3684—664 411(a) of the Surface Mining Control and Reclamation Act of 1977 (30 U.S.C. 1240a(a)).</t>
  </si>
  <si>
    <t>$25M</t>
  </si>
  <si>
    <t>• priority given to reclamation projects that provide employment to former employees of the coal industry</t>
  </si>
  <si>
    <t>N/A</t>
  </si>
  <si>
    <t xml:space="preserve">$ - </t>
  </si>
  <si>
    <t xml:space="preserve">• Decreases the Abandoned Mine Reclamation Fee:
• from 28 cents to 22.4 cents per ton of coal for surface mining; 
• from 12 cents to 9.6 cents per ton of coal for underground mining;
• from 8 cents to 6.4 cents per ton of coal for lignite coal
• extends the fee until 2034 (previously expired on September 30, 2021)
</t>
  </si>
  <si>
    <t>Fee</t>
  </si>
  <si>
    <t>DOI; USDA; DHS</t>
  </si>
  <si>
    <t xml:space="preserve">until expended </t>
  </si>
  <si>
    <t>• to inventory, assess, decommission, reclaim, respond to hazardous substance releases on, and remediate abandoned hardrock mine land based on conditions including need, public health and safety, potential environmental harm, and other land use priorities.
• 50% for grants to States and Tribes
• 50% to DOI for Federal Lands, which can be transferred to USDA for National Forest System land</t>
  </si>
  <si>
    <t>Competitive, Formula</t>
  </si>
  <si>
    <t>States and Indian Tribes that have jurisdiction over abandoned hardrock mine land to reclaim that land.
ELIGIBILITY.—Amounts made available under this section
may only be used for Federal, State, Tribal, local, and private land that has been affected by past hardrock mining activities, and water resources that traverse or are contiguous to such land, including any of the following:
(1) Land and water resources that were—
(A) used for, or affected by, hardrock mining activities; and
(B) abandoned or left in an inadequate reclamation status before the date of enactment of this Act.
(2) Land for which the Secretary makes a determination that there is no continuing reclamation responsibility of a claim holder, liable party, operator, or other person that abandoned the site prior to completion of required reclamation under Federal or State law.</t>
  </si>
  <si>
    <t>40901; 40902</t>
  </si>
  <si>
    <t>• for water storage, groundwater storage, and conveyance projects
• includes feasibility and construction projects
• $1.15B is appropriated for this Section in Division J</t>
  </si>
  <si>
    <t xml:space="preserve">• Eligibility for feasibility studies: 
(i) the feasibility study has been authorized by an Act of Congress before the date of enactment of this Act;
(ii) Congress has approved funding for the feasibility study in accordance with section 4007 of the Water Infrastructure Improvements for the Nation Act before enactment of this Act; or
(iii) the feasibility study is authorized (below) 
• feasibility study projects are authorized for The Verde Reservoirs Sediment Mitigation Project in the State of Arizona, and the Tualatin River Basin Project in the State of Oregon
• Eligibility for Construction projects: 
(A) an Act of Congress enacted before this Act is enacted and authorizes construction of the project;
(B) Congress has approved funding for construction of the project in accordance with section 4007 of the Water Infrastructure Improvements for the Nation Act before the date of enactment of this Act, except for any project for which— 
(i) Congress did not approve the recommendation of the Secretary for funding under subsection (h)(2)
of that section for at least 1 fiscal year before the date of enactment of this Act; or
(ii) State funding for the project was rescinded by the State before the date of enactment of this Act;
or
(C)(i) Congress has authorized or approved funding for a feasibility study for the project in accordance with clause (i) or (ii) of paragraph (1)(A) (except that projects described in clauses (i) and (ii) of subparagraph (B) shall not be eligible); and
(ii) on completion of the feasibility study for the project, the Secretary:
(I) finds the project to be technically and financially feasible in accordance with the reclamation laws;
(II) determines that sufficient non-Federal funding is available for the non-Federal cost share of the
project; and
(III)(aa) finds the project to be in the public interest; and
(bb) recommends the project for construction. </t>
  </si>
  <si>
    <t>50% for a federally-owned project and 75% for a non-federally-owned project</t>
  </si>
  <si>
    <t>The Federal share— (A) for a project authorized by an Act of Congress shall be determined in accordance with that Act; (B) for a project approved by Congress in accordance with section 4007 of the Water Infrastructure Improvements for the Nation Act (43 U.S.C. 390b note; Public Law 114–322) (including construction resulting from a feasibility study authorized under that Act) shall be as provided in that Act; and (C) for a project not described in subparagraph (A) or (B)— (i) in the case of a federally owned project, shall not exceed 50 percent of the total cost of the project; and (ii) in the case of a non-Federal project, shall not exceed 25 percent of the total cost of the project.</t>
  </si>
  <si>
    <t>• Before funding a project under this section, the Secretary shall determine that, in return for the Federal investment in the project, at least a proportionate share of the benefits are Federal benefits.
• The reimbursability of Federal funding of projects under this section shall be in accordance with the reclamation laws.</t>
  </si>
  <si>
    <t>40901; 40903</t>
  </si>
  <si>
    <t>5 years after enactment</t>
  </si>
  <si>
    <t>• establishes a new program to provide grants to plan and construct small surface water and groundwater storage projects
• $100M is appropriated for this Section in Division J</t>
  </si>
  <si>
    <t>States, and non-Federal project sponsor of any project determined by the Secretary to be feasible
• Projects will be considered eligible if:
- it has water storage capacity of not less than 2,000 acre-feet and not more than 30,000 acre-feet; and 
- it increases surface water or groundwater storage; or 
- it conveys water, directly or indirectly, to or from surface water or groundwater storage.</t>
  </si>
  <si>
    <t>The Federal share of the costs of each of the individual projects selected under this section shall not exceed the lesser of:
(1) 25 percent of the total project cost; or
 (2) $30,000,000.</t>
  </si>
  <si>
    <t>• technical and financial feasibility, accordance with reclamation laws, and federal benefit will all be considerations</t>
  </si>
  <si>
    <t>40901; 40904</t>
  </si>
  <si>
    <t xml:space="preserve">Resilience </t>
  </si>
  <si>
    <t>• for the Aging Infrastructure Account 
• $100M for Bureau of Reclamation reserved or transferred works that have suffered a critical failure
• $100M for the rehabilitation, reconstruction, or replacement of a dam (Carey Act projects)
• $3.2B is appropriated for this Section in Division J</t>
  </si>
  <si>
    <t xml:space="preserve">• for reserved or transferred works to be considered eligible:
- the construction of the reserved or transferred work began on or before January 1, 1915; and 
- a unit of the reserved or transferred work suffered a critical failure in Bureau of Reclamation infrastructure during the 2-year period ending on the date of enactment of this Act that resulted in the failure to deliver water to project beneficiaries  
• for dams to be eligible:
- the construction began on or after January 1, 1905; and
- that was developed pursuant to the ‘‘Carey Act’’, and
- that the Governor of the State in which the dam is located has
(A) determined the dam has reached its useful life;
(B) determined the dam poses significant health and safety concerns; and
(C) requested Federal support; and 
(4) for which the estimated rehabilitation, reconstruction,
or replacement, engineering, and permitting costs would exceed $50M </t>
  </si>
  <si>
    <t>• for rural water projects that have been authorized by an Act of Congress before July 1, 2021, in accordance with the Reclamation Rural Water Supply Act of 2006 
• $1B is appropriated for this Section in Division J</t>
  </si>
  <si>
    <t>40901; 40905</t>
  </si>
  <si>
    <t>5 years after enactment of this Act</t>
  </si>
  <si>
    <t>• for water recycling and reuse projects:
• $550M for authorized projects that are approved by an Act of Congress before enactment of this Act, or selected for competitive grant funding authorized pursuant to section 1602(f) of the Reclamation Wastewater and Groundwater Study and Facilities Act
• $450M for largescale water recycling and reuse projects in accordance with sec. 40905
• $1B is appropriated for this Section in Division J</t>
  </si>
  <si>
    <t>• A project shall be eligible for a grant if: 
- it reclaims and reuses— 
(A) municipal, industrial, domestic, or agricultural wastewater; or 
(B) impaired groundwater or surface water; 
-  has a total estimated cost of $500M or more; - is located in a Reclamation State; 
- is constructed, operated, and maintained by an eligible entity; and 
- provides a Federal benefit in accordance with the reclamation laws.</t>
  </si>
  <si>
    <t>• The Federal share of the cost of any project provided a grant under the program shall not exceed 25 percent of the total cost of the eligible project. 
• The Secretary shall not impose a total dollar cap on Federal contributions for all eligible individual projects provided a grant under the program.</t>
  </si>
  <si>
    <t>priority given to projects that:
(1) provide multiple benefits,
including:
(A) water supply reliability benefits for drought stricken States and communities;
(B) fish and wildlife benefits; and
(C) water quality improvements. 
(2) The eligible project is likely to reduce impacts on
environmental resources from water projects owned or operated by Federal and State agencies, including through measurable reductions in water diversions from imperiled ecosystems.
(3) The eligible project would advance water management
plans across a multi-State area, such as drought contingency
plans in the Colorado River Basin.
(4) The eligible project is regional in nature.
(5) The eligible project is collaboratively developed or supported by multiple stakeholders.</t>
  </si>
  <si>
    <t>• for water desalination projects and studies authorized in accordance with the Water Desalination Act of 1996 that are authorized or approved for construction funding by an Act of Congress before July 1, 2021; or selected for funding under the program authorized pursuant to section 4(a) of the Water Desalination Act of 1996
• $250M is appropriated for this Section in Division J</t>
  </si>
  <si>
    <t>Safety of Dams Program</t>
  </si>
  <si>
    <t>• for the safety of dams program
• $500M is appropriated for this Section in Division J</t>
  </si>
  <si>
    <t>40901; 40906</t>
  </si>
  <si>
    <t>• for implementing the Colorado River Basin Drought Contingency Plan
• $50M for use in accordance with the Drought Contingency Plan for the Upper Colorado River Basin
• $300M is appropriated for this Section in Division J</t>
  </si>
  <si>
    <t>funds can be used for projects 
(1) to establish or conserve recurring Colorado River water that contributes to supplies in Lake Mead and other Colorado River water reservoirs in the Lower Colorado River Basin; or
 (2) to improve the long-term efficiency of operations in the Lower Colorado River Basin.</t>
  </si>
  <si>
    <t>• for endangered species recovery and conservation programs in the Colorado River Basin
• $50M is appropriated for this Section in Division J</t>
  </si>
  <si>
    <t xml:space="preserve">• for DOI, in coordination with affected States and Tribes, to provide technical or financial assistance for, participate in, and enter into agreements (including agreements
with irrigation entities) for—
(1) groundwater recharge projects;
(2) aquifer storage and recovery projects; or
(3) water source substitution for aquifer protection projects. </t>
  </si>
  <si>
    <t xml:space="preserve">•Cost sharing for a project funded under this section shall be in accordance with section 40902(b).
• 40902(b) COST-SHARING REQUIREMENT.— (1) IN GENERAL.—The Federal share—
(A) for a project authorized by an Act of Congress shall be determined in accordance with that Act;
(B) for a project approved by Congress in accordance with section 4007 of the Water Infrastructure Improvements for the Nation Act (including construction resulting from a feasibility study authorized under that Act) shall be as provided in that Act; and
(C) for a project not described in subparagraph (A) or (B)—
(i) in the case of a federally owned project, shall not exceed 50 percent of the total cost of the project; and
(ii) in the case of a non-Federal project, shall not exceed 25 percent of the total cost of the project. </t>
  </si>
  <si>
    <t xml:space="preserve">• Nothing in this section authorizes additional technical or financial assistance for, or participation in an agreement for, a surface water storage facility to be constructed or expanded.
• A construction project shall only be eligible for financial assistance under this section if the project meets the conditions for funding under section 40902(a)(2)(C)(ii).
• A project with a total estimated cost of
$500,000,000 or more shall only be eligible for construction funding under this section if the project is authorized for construction by an Act of Congress. </t>
  </si>
  <si>
    <t>Title X—Authorization of Appropriations for Energy Act of 2020</t>
  </si>
  <si>
    <t>41001. Energy Storage Demonstration Projects.</t>
  </si>
  <si>
    <t>• Energy Storage Demonstration Projects; Pilot Grant Program
• Long-Duration Demonstration Initiative and Joint Program</t>
  </si>
  <si>
    <t>FY22-25</t>
  </si>
  <si>
    <t>• $355M for the Energy Storage Demonstration Projects; Pilot Grant Program to carry out activities under section 3201(c) of the Energy Act of 2020
• $150M for the Long-Duration Demonstration Initiative and Joint Program to carry out activities under section 3201(d) of the Energy Act of 2020</t>
  </si>
  <si>
    <t>State energy office, Indian Tribe, Tribal organization, institute of higher education, electric utility, or private energy storage company</t>
  </si>
  <si>
    <t>41002. Advanced Reactor Demonstration Program</t>
  </si>
  <si>
    <t>Advanced Reactor Demonstration Program</t>
  </si>
  <si>
    <t>FY22-27</t>
  </si>
  <si>
    <t>• to carry out activities under section 959A of the Energy Policy Act of 2005 (42 U.S.C. 16279a) pursuant to the funding opportunity announcement of the Department numbered DE–FOA–0002271 for Pathway 1, Advanced Reactor Demonstrations— (1) $511,000,000 for fiscal year 2022; (2) $506,000,000 for fiscal year 2023; (3) $636,000,000 for fiscal year 2024; (4) $824,000,000 for fiscal year 2025; (5) $453,000,000 for fiscal year 2026; and (6) $281,000,000 for fiscal year 2027. 
• Division J appropriates $2,477,000,000</t>
  </si>
  <si>
    <t>41006. WATER POWER PROJECTS</t>
  </si>
  <si>
    <t>• (a) HYDROPOWER AND MARINE ENERGY.
(1) to carry out activities under section 634 of the Energy Independence and Security Act of 2007, $36M for the FY22-25; and
(2) to carry out activities under section 635 of the Energy Independence and Security Act of 2007, $70.4M for FY22-25.
(b) NATIONAL MARINE ENERGY CENTERS.— to carry out activities under section 636 of the Energy Independence and Security Act of 2007, $40M for FY22-25.</t>
  </si>
  <si>
    <t>41007. RENEWABLE ENERGY PROJECTS.</t>
  </si>
  <si>
    <t>Power, Industry</t>
  </si>
  <si>
    <t>(a) $84M for GEOTHERMAL ENERGY. to carry out activities under section 615(d) of the Energy Independence and Security Act of 2007, $84M for FY22-25. 
(b) $100M for WIND ENERGY.
(1) to carry out activities under section 3003(b)(2) of the Energy Act of 2020, $60M for FY22-25; and
(2) to carry out activities under section 3003(b)(4) of the Energy Act of 2020, $40M for
FY22-25.
(c) $80M for SOLAR ENERGY.
(1) to carry out activities under section 3004(b)(2) of the Energy Act of 2020, $40M for fy22-25;
(2) to carry out activities under section 3004(b)(3) of the Energy Act of 2020, $20M for FY22-25; and
(3) to carry out activities under section 3004(b)(4) of the Energy Act of 2020, $20M for
FY22-25.</t>
  </si>
  <si>
    <t>Title I—Drinking Water</t>
  </si>
  <si>
    <t>50101. Technical assistance and grants for emergencies affecting public water systems.</t>
  </si>
  <si>
    <t>Remediation</t>
  </si>
  <si>
    <t>• amends Section 1442 of the Safe Drinking Water Act by:
- adding a compliance evaluation
- extending appropriations of $35M for each of FY22-26 to provide technical assistance and to make grants to States, or publicly owned water systems to assist in responding to and alleviating any emergency situation affecting public water systems (including sources of water for such systems) which the Administrator determines to present substantial danger to the public health
- extending appropriations of $15M for each of FY22-26 for technical assistance to small public water systems to enable such systems to achieve and maintain compliance with applicable national primary drinking water regulations
- allowing the Administrator to provide technical assistance consistent with the authority provided under subsection (e) to State-based nonprofit organizations that are governed by community water systems; requires such nonprofits to first consult with the relevant State</t>
  </si>
  <si>
    <t>States and nonprofits
Nonprofits must consult with the State where the funding will be available</t>
  </si>
  <si>
    <t>50102. Drinking water State revolving loan funds.</t>
  </si>
  <si>
    <t>Drinking Water State Revolving Funds Capitalization Grant</t>
  </si>
  <si>
    <t>• amends Section 1452 of the Safe Drinking Water Act by:
- extending appropriations for FY22-26 for grants to States to establish state loan funds
$2,400,000,000 for fiscal year 2022;
$2,750,000,000 for fiscal year 2023;
$3,000,000,000 for fiscal year 2024; and
$3,250,000,000 for each of fiscal years 2025 and 2026.
- modifying the requirements for assistance to disadvantaged communities
• Division J appropriates:
- $11.713B for capitalization grants for the Drinking Water State Revolving Funds under section 1452 of the Safe Drinking Water Act (FY22: $1.9M; FY23: $2.2M; FY23: $2.4M; FY24: $2.6M; FY25: $2.6M; FY26: $2.6M;)
- $15B for capitalization grants for the Drinking Water State Revolving Funds under section 1452 of the Safe Drinking Water Act ($3M a year); funds made available under this paragraph in this Act, forty-nine percent of the funds made available to each State for Drinking Water State Revolving Fund capitalization grants shall be used by the State to provide subsidy to eligible recipients in the form of assistance agreements with 100 percent forgiveness of principal or grants"
- $4B for capitalization grants for the Drinking Water State Revolving Funds under section 1452 of the Safe Drinking Water Act ($800M a year); That funds provided under this paragraph in this Act deposited into the State revolving fund shall be provided to eligible recipients as loans with 100 percent principal forgiveness or as grants"</t>
  </si>
  <si>
    <t>50104. Assistance for small and disadvantaged communities</t>
  </si>
  <si>
    <t>Remediation, Resilience</t>
  </si>
  <si>
    <t>Assistance for small and disadvantaged communities program;
Drinking Water System Infrastructure Resilience and Sustainability Program;
Competitive Grant Pilot Program</t>
  </si>
  <si>
    <t>• amends Section 1459A of the Safe Drinking Water Act by:
- reducing the cost share from 45% to 10%
- extending appropriations for FY22-26 for the program under which grants are provided to eligible entities for use in carrying out projects and activities the primary purposes of which are to assist public water systems in meeting the requirements of the title:
(1) $70,000,000 for fiscal year 2022;
(2) $80,000,000 for fiscal year 2023;
(3) $100,000,000 for fiscal year 2024;
(4) $120,000,000 for fiscal year 2025; and
(5) $140,000,000 for fiscal year 2026.
- extending appropriations of $25M for each FY22-26 for the Drinking Water System Infrastructure Resilience and Sustainability Program, to award grants to eligible entities for the purpose of increasing resilience to natural hazards
- redefines eligible entities and individuals for Connection to Public Water Systems and extending appropriations for this program of $20M for each FY22-26
- extends appropriations for the State Competitive Grants for Underserved Communities Program by $50M for each FY22-26</t>
  </si>
  <si>
    <t>(A) a public water system; (B) a water system that is located in an area governed by an Indian Tribe; or (C) a State, on behalf of an underserved community; and (2) serves a community— (A) that, under affordability criteria established by the State under section 1452(d)(3), is determined by the State— (i) to be a disadvantaged community; or (ii) to be a community that may become a disadvantaged community as a result of carrying out a project or activity under subsection (b); or (B) with a population of less than 10,000 individuals that the Administrator determines does not have the capacity to incur debt</t>
  </si>
  <si>
    <t>Federal share cap; 
waiver</t>
  </si>
  <si>
    <t>reduced from 45% from the original Safe Drinking Water Act: 
 FEDERAL SHARE FOR SMALL, RURAL, AND DISADVANTAGED COMMUNITIES.—
(A) IN GENERAL.—Subject to subparagraph (B), with respect to a program or project that serves an eligible entity and is carried out using a grant under this subsection, the Federal share of the cost of the program or project shall be 90 percent.
(B) WAIVER.—The Administrator may increase the Federal share under subparagraph (A) to 100 percent if
the Administrator determines that an eligible entity is unable to pay, or would experience significant financial hardship if required to pay, the non-Federal share.’’</t>
  </si>
  <si>
    <t>50105. Reducing lead in drinking water.</t>
  </si>
  <si>
    <t xml:space="preserve"> Reducing Lead in Drinking Water; Lead Inventorying Utilization Grant Pilot Program</t>
  </si>
  <si>
    <t>• amends Section 1459B of the Safe Drinking Water Act by: 
- requiring eligible nonprofits to have experience in lead reduction
- removes requirement for lead service lines to be publicly owned
- rewords prioritization disadvantaged communities to include assistance to landlords servicing low-income households, rather than only low-income homeowners
- removes cost share for low-income households
- requires eligible entities carrying out projects to notify the State of any planned replacement of lead service lines under this program and coordinate, where practicable, with other relevant infrastructure projects 
- extends appropriations for the program by $100M for each FY22-26
- establishes a new lead inventorying utilization grant pilot program for $10M (available to be expended) to inventory municipalities where there are suspected 30% or more lead pipe service lines</t>
  </si>
  <si>
    <t xml:space="preserve">(A) a community water system;
(B) a water system located in an area governed by an
Indian Tribe;
(C) a non-transient noncommunity water system;
(D) a qualified nonprofit organization, as determined
by the Administrator, servicing a public water system; and
(E) a municipality or State, interstate, or intermunicipal agency. </t>
  </si>
  <si>
    <t>50106. Operational sustainability of small public water systems.</t>
  </si>
  <si>
    <t>• amends Part E of the Safe Drinking Water Act by adding Section 1459E.  OPERATIONAL SUSTAINABILITY OF SMALL PUBLIC WATER SYSTEMS.
• authorizes $50M per each FY22-26 for grants to improve the operation of a small system (i.e. fewer than 10k people that is operated by an eligible entity) through the identification and prevention of potable water loss due to leaks, breaks, and other metering or infrastructure failures</t>
  </si>
  <si>
    <t>Grant</t>
  </si>
  <si>
    <t>(A) a State; (B) a unit of local government; (C) a public corporation established by a unit of local government to provide water service; (D) a nonprofit corporation, public trust, or cooperative association that owns or operates a public water system; (E) an Indian Tribe that owns or operates a public water system; (F) a nonprofit organization that provides technical assistance to public water systems; and (G) a Tribal consortium.</t>
  </si>
  <si>
    <t>The Secretary may waive the 10% cost share requirement</t>
  </si>
  <si>
    <t>• To be eligible an entity must submit: 
(2) documentation provided by the eligible entity describing the deficiencies or suspected deficiencies in operational sustainability of 1 or more small systems that are to be addressed through the proposed project; 
(3) a description of how the proposed project will improve the operational sustainability of 1 or more small systems; 
(4) a description of how the improvements described in paragraph (3) will be maintained beyond the life of the proposed project, including a plan to maintain and update any asset data collected as a result of the proposed project; and 
(5) any additional information the Administrator may require.
• Before the award
of funds for a grant under the program to a grant recipient, the grant recipient shall submit to the Administrator—
(1) if the grant recipient is located in a State that has
established a State drinking water treatment revolving loan fund under section 1452, a copy of a written agreement between
the grant recipient and the State in which the grant recipient agrees to provide a copy of any data collected under the proposed project to the State agency administering the State
drinking water treatment revolving loan fund (or a designee); or
(2) if the grant recipient is located in an area other than a State that has established a State drinking water treatment revolving loan fund under section 1452, a copy of a written
agreement between the grant recipient and the Administrator in which the eligible entity agrees to provide a copy of any data collected under the proposed project to the Administrator (or a designee).</t>
  </si>
  <si>
    <t>50107. Midsize and large drinking water system infrastructure resilience and sustainability program.</t>
  </si>
  <si>
    <t>Midsize and large drinking water system infrastructure resilience and sustainability program</t>
  </si>
  <si>
    <t>• amends Part E of the Safe Drinking Water Act by adding 1459F. MIDSIZE AND LARGE DRINKING WATER SYSTEM INFRASTRUCTURE RESILIENCE AND SUSTAINABILITY PROGRAM: 
- establishes a new program to award grants to eligible entities ( a public water system that serves a community with a population of 10,000 or more) for the purpose of—
(1) increasing resilience to natural hazards and extreme weather events; and
(2) reducing cybersecurity vulnerabilities. 
- authorizes $50M per FY22-26 for this program, with 50% of the funds for entities between 10k and 100k in population, and 50% for those with over 100k population</t>
  </si>
  <si>
    <t xml:space="preserve">New </t>
  </si>
  <si>
    <t>public water systems</t>
  </si>
  <si>
    <t>public water system that serves a community with a population of 10,000 or more</t>
  </si>
  <si>
    <t xml:space="preserve">• To seek a grant under the resilience and sustainability program, an eligible entity shall submit to the Administrator an application at such time, in such manner, and
containing such information as the Administrator may require,
including—
(1) a proposal of the program or project to be planned,
designed, constructed, implemented, operated, or maintained
by the eligible entity;
(2) an identification of the natural hazard risks, extreme
weather events, or potential cybersecurity vulnerabilities, as applicable, to be addressed by the proposed program or project;
(3) documentation prepared by a Federal, State, regional,
or local government agency of the natural hazard risk, potential cybersecurity vulnerability, or risk for extreme weather events
to the area where the proposed program or project is to be located;
(4) a description of any recent natural hazards, cybersecurity events, or extreme weather events that have affected the
community water system of the eligible entity;
(5) a description of how the proposed program or project
would improve the performance of the community water system of the eligible entity under the anticipated natural hazards,
cybersecurity vulnerabilities, or extreme weather events; and
(6) an explanation of how the proposed program or project
is expected—
(A) to enhance the resilience of the community water
system of the eligible entity to the anticipated natural
hazards or extreme weather events; or
(B) to reduce cybersecurity vulnerabilities. </t>
  </si>
  <si>
    <t>50108. Needs assessment for nationwide rural and urban low-income community water assistance.</t>
  </si>
  <si>
    <t>$ -</t>
  </si>
  <si>
    <t>• The Administrator shall conduct, and submit to Congress a report describing the results of, a study that examines the prevalence throughout the United States of municipalities, public entities, or Tribal governments that— 
(A) are serviced by rural water service providers, medium water service providers, or large water service providers that service a disproportionate percentage, as determined by the Administrator, of qualifying households with need; or 
(B) as determined by the Administrator, have taken on an unsustainable level of debt due to customer nonpayment for the services provided by a large water service provider, a medium water service provider, or a rural water service provider.</t>
  </si>
  <si>
    <t>Report</t>
  </si>
  <si>
    <t>50109. Rural and low-income water assistance pilot program.</t>
  </si>
  <si>
    <t xml:space="preserve">• establishes a pilot grant program to award grants to eligible entities to develop and implement programs to assist qualifying households with need in maintaining access to drinking water and wastewater treatment. </t>
  </si>
  <si>
    <t xml:space="preserve">
Includes a State exercising primary enforcement responsibility over a rural water service provider under the Safe Drinking Water Act</t>
  </si>
  <si>
    <t>(A) a municipality, Tribal government, or other entity that— 
(i) owns or operates a community water system, treatment works, or municipal separate storm sewer system; or 
(ii) as determined by the Administrator, has taken on an unsustainable level of debt due to customer nonpayment for the services provided by a community water system, treatment works, or municipal separate storm sewer system; and 
(B) a State exercising primary enforcement responsibility over a rural water service provider under the Safe Drinking Water Act (42 U.S.C. 300f et seq.) or the Federal Water Pollution Control Act (33 U.S.C. 1251 et seq.), as applicable.
In establishing the pilot program, the Administrator may include provisions for— (A) direct financial assistance; (B) a lifeline rate; (C) bill discounting; (D) special hardship provisions; (E) a percentage-of-income payment plan; or (F) debt relief for the eligible entity or the community water system owned by the eligible entity for debt that is due to customer nonpayment for the services provided by the eligible entity or the community water system that is determined by the Administrator to be in the interest of public health.</t>
  </si>
  <si>
    <t>• A grant under the pilot program:
(A) shall not be used to replace funds for any existing similar program; but 
(B) may be used to supplement or enhance an existing program, including a program that receives assistance from other Federal grants.
• The Administrator shall award not more than 40 grants under the pilot program, of which:
(A) not more than 8 shall be to eligible entities that
own, operate, or exercise primary enforcement responsibility over a rural water service provider under the Safe
Drinking Water Act or the Federal Water Pollution Control Act, as applicable;
(B) not more than 8 shall be to eligible entities that
own or operate a medium water service provider;
(C) not more than 8 shall be to eligible entities that
own or operate a large water service provider that serves not more than 500,000 people;
(D) not more than 8 shall be to eligible entities that own or operate a large water service provider that serves
more than 500,000 people; and
(E) not more than 8 shall be to eligible entities that own or operate a community water system, treatment
works, or municipal separate storm sewer system that services a disadvantaged community (consistent with the affordability criteria established by the applicable State under section 1452(d)(3) of the Safe Drinking Water Act or section 603(i)(2) of the Federal Water Pollution Control Act, as applicable). 
• the Administrator shall give priority consideration to eligible entities that:
(A) serve a disproportionate percentage, as determined by the Administrator, of qualifying households with need, as identified in the water services needs assessment;
(B) are subject to State or Federal enforcement actions relating to compliance with the Federal Water Pollution Control Act or the Safe Drinking Water Act; or
(C) maintain or participate in an existing community assistance program with objectives similar to the objectives of the pilot program, as determined by the Administrator. 
• an eligible entity (or a State, on behalf of an eligible entity) shall submit to the Administrator an annual report that summarizes, in a manner determined by the Administrator, the use of grant funds by the eligible entity, including— 
(i) key features of the assistance provided by the eligible entity; 
(ii) sources of funding used to supplement Federal funds; and 
(iii) eligibility criteria.</t>
  </si>
  <si>
    <t>50110. Lead contamination in school drinking water.</t>
  </si>
  <si>
    <t>Voluntary School and Child Care Program Lead Testing and Reduction Grant Program</t>
  </si>
  <si>
    <t xml:space="preserve">• amends Section 1464 of the Safe Drinking Water Act by:
- including public water systems in addition to schools as the target entities
- including lead reduction to the "Voluntary School and Child Care Program Lead Testing Grant Program" 
- broadens eligible entities of grants to include "public water system, tribal consortium, or qualified nonprofit organization"
- extends appropriations authorizations: 
(A) $30,000,000 for fiscal year 2022;
(B) $35,000,000 for fiscal year 2023;
(C) $40,000,000 for fiscal year 2024;
(D) $45,000,000 for fiscal year 2025; and
(E) $50,000,000 for fiscal year 2026.  </t>
  </si>
  <si>
    <t>Includes states</t>
  </si>
  <si>
    <t>State, local educational agency, public water system, tribal consortium, or qualified nonprofit organization</t>
  </si>
  <si>
    <t>50112. Advanced drinking water technologies.</t>
  </si>
  <si>
    <t>Advanced Drinking Water Technology Grant Program</t>
  </si>
  <si>
    <t>• amends Part E of the Safe Drinking Water Act by:
- commissioning a new study by the Administrator that examines the state of existing and potential future technology, including technology that could address cybersecurity
vulnerabilities, that enhances or could enhance the treatment, monitoring, affordability, efficiency, and safety of drinking water provided by a public water system
- establishing a new competitive grant program to award grants to eligible entities for the purpose of identifying, deploying, or identifying and deploying technologies, including technology that could address cybersecurity vulnerabilities, as determined by
the Administrator, that enhance treatment, monitoring, affordability, efficiency, or safety of the drinking water provided by the public water system</t>
  </si>
  <si>
    <t>owner and operator of a public water system that meets certain requirements (see notes)</t>
  </si>
  <si>
    <t>the owner or operator of a public water system that— ‘‘(i) serves— ‘‘(I) a population of not more than 100,000 people; or ‘‘(II) a community described in section 1459A(c)(2); ‘‘(ii) has plans to identify or has identified opportunities in the operations of the public water system to employ new, existing, or emerging, yet proven, technologies, including technology that could address cybersecurity vulnerabilities, as determined by the Administrator, that enhance treatment, monitoring, affordability, efficiency, or safety of the drinking water provided by the public water system, including technologies not identified in the study conducted under subsection (a)(1); and ‘‘(iii) has expressed an interest in the opportunities in the operation of the public water system to employ new, existing, or emerging, yet proven, technologies, including technology that could address cybersecurity vulnerabilities, as determined by the Administrator, that enhance treatment, monitoring, affordability, efficiency, or safety of the drinking water provided by the public water system, including technologies not identified in the study conducted under subsection (a)(1).</t>
  </si>
  <si>
    <t>(B) FEDERAL SHARE.— 
(i) IN GENERAL.—Subject to clause (ii), the Federal share of the cost of a project carried out using a grant under the program shall not exceed 90 percent of the total cost of the project. 
(ii) WAIVER.—The Administrator may increase the Federal share under clause (i) to 100 percent if the Administrator determines that an eligible entity is unable to pay, or would experience significant financial hardship if required to pay, the non-Federal share.</t>
  </si>
  <si>
    <t xml:space="preserve">To be eligible to receive a grant under the program, an eligible entity shall submit to the
Administrator an application at such time, in such manner, and containing such information as the Administrator may require. </t>
  </si>
  <si>
    <t>50113. Cybersecurity support for public water systems.</t>
  </si>
  <si>
    <t>• amends Part B of the Safe Drinking Water Act by:
- adding a directive to the Administrator to develop a prioritization framework to identify public water systems (including sources of water for those public water systems) that, if degraded or rendered inoperable due to an incident, would lead to significant impacts on the health and safety of the public (i.e. cybersecurity vulnerabilities)
- directs the Administrator to develop a Technical Cybersecurity Support Plan for public water systems
- requires consultation with appropriate Federal and non-Federal entities</t>
  </si>
  <si>
    <t>50201. Research, investigations, training, and information.</t>
  </si>
  <si>
    <t>• amends Section 104(u) of the Federal Water Pollution Control Act by: 
- extending funding of $75M per year from FY22-26, with $50M set aside annually for grants to nonprofit organizations</t>
  </si>
  <si>
    <t>Included states</t>
  </si>
  <si>
    <t>State water pollution control agencies, interstate agencies, other public or nonprofit private agencies, institutions, organizations, and individuals,
$50M of $75M per fiscal year reserved for nonprofit organizations</t>
  </si>
  <si>
    <t>Each nonprofit organization that receives funding under paragraph (8) of section 104(b) of the Federal Water Pollution Control Act (33 U.S.C. 1254(b)) shall, before using that funding to undertake activities to carry out that paragraph, consult with the State in which the assistance is to be expended or otherwise made available.</t>
  </si>
  <si>
    <t>50202. Wastewater efficiency grant pilot program.</t>
  </si>
  <si>
    <t>Buildings, Power</t>
  </si>
  <si>
    <t>Wastewater Efficiency Grant Pilot Grant Program</t>
  </si>
  <si>
    <t>• amends Title II of the Federal Water Pollution Control Act by: 
- establishing a new Wastewater Efficiency Grant Pilot Grant Program for $20M per FY22-26 to award grants to owners or operators of publicly owned treatment works to carry out projects that create or improve waste-to-energy systems. 
- Recipients can use funds for:
(A) sludge collection;
(B) installation of anaerobic digesters;
(C) methane capture;
(D) methane transfer;
(E) facility upgrades and retrofits necessary to create or improve waste-to-energy systems; and 
(F) other new and emerging, but proven, technologies that transform waste to energy.</t>
  </si>
  <si>
    <t>owners or operators of publicly owned treatment works</t>
  </si>
  <si>
    <t>max. 15 recipients</t>
  </si>
  <si>
    <t>To be eligible to receive a grant under the pilot program, an owner or operator of a treatment works shall submit to the Administrator an application at such time, in such manner, and containing such information as the Administrator may require.</t>
  </si>
  <si>
    <t>max. $4M award to recipient</t>
  </si>
  <si>
    <t>50203. Pilot program for alternative water source projects.</t>
  </si>
  <si>
    <t>Power, Remediation</t>
  </si>
  <si>
    <t>Pilot Program for Alternative for Alternative Water Source Projects</t>
  </si>
  <si>
    <t>• amends Section 220 of the Federal Water Pollution Control Act by:
- adding "or stormwater for groundwater recharge, potable reuse, or other purposes" as an eligible use for this program
- extending appropriations authorizations of $25M for FY22-26</t>
  </si>
  <si>
    <t>50204. Sewer overflow and stormwater reuse municipal grants.</t>
  </si>
  <si>
    <t>Power, Buildings</t>
  </si>
  <si>
    <t>• amends Section 221 of the Federal Water Pollution Control Act by:
- by adding "notification systems to inform the public of combined sewer or sanitary overflows that result in sewage being released into rivers and other waters" as an eligible use
- extends appropriations authorizations by $280M per year FY22-26</t>
  </si>
  <si>
    <t>25% is set aside for States to use for rural communities or financially distressed communities</t>
  </si>
  <si>
    <t>- The Federal share of the cost of activities carried out using amounts from a grant made under subsection (a) shall be not less than 55 percent of the cost
- RURAL AND FINANCIALLY DISTRESSED COMMUNITIES.— To the maximum extent practicable, the Administrator shall work with States to prevent the non-Federal share requirements under this subsection from being passed on to rural communities and financially distressed communities (as those terms are defined in subsection</t>
  </si>
  <si>
    <t>50205. Clean water infrastructure resiliency and sustainability program.</t>
  </si>
  <si>
    <t>Resilience, Power, Buildings</t>
  </si>
  <si>
    <t>Clean water infrastructure resiliency and sustainability program</t>
  </si>
  <si>
    <t xml:space="preserve">• amends Title II of the Federal Water Pollution Control Act by:
- establishing a new Clean water infrastructure resiliency and sustainability program to  award grants to eligible entities for the purpose of increasing the resilience of publicly owned treatment works to a natural hazard or cybersecurity vulnerabilities.
- An eligible entity that receives a grant under the program shall use the grant funds for planning, designing, or constructing projects (on a system-wide or area-wide basis) that increase the resilience of a publicly owned treatment works to a natural hazard or cybersecurity vulnerabilities through—
(1) the conservation of water;
(2) the enhancement of water use efficiency;
(3) the enhancement of wastewater and stormwater
management by increasing watershed preservation and protection, including through the use of—
(A) natural and engineered green infrastructure; and 
(B) reclamation and reuse of wastewater and stormwater, such as aquifer recharge zones;
(4) the modification or relocation of an existing publicly owned treatment works, conveyance, or discharge system component that is at risk of being significantly impaired or damaged by a natural hazard;
(5) the development and implementation of projects to increase the resilience of publicly owned treatment works to a natural hazard or cybersecurity vulnerabilities, as applicable;
or
(6) the enhancement of energy efficiency or the use and generation of recovered or renewable energy in the management, treatment, or conveyance of wastewater or stormwater. </t>
  </si>
  <si>
    <t>• Generally, a grant under the program shall not exceed 75 percent of the total cost of the proposed project.
• Exceptions: 
- a grant under the program shall not exceed 90 percent of the total cost of the proposed project if the project serves a community that— 
(i) has a population of fewer than 10,000 individuals; or 
(ii) meets the affordability criteria established by the State in which the community is located under section 603(i)(2). 
• At the discretion of the Administrator, a grant for a project described in subparagraph (A) may cover 100 percent of the total cost of the proposed project.</t>
  </si>
  <si>
    <t>To be eligible to receive a grant under the program, an eligible entity shall submit to the Administrator an application at such time, in such manner, and containing such information as the Administrator may require, including:
(1) a proposal of the project to be planned, designed, or constructed using funds under the program; 
(2) an identification of the natural hazard risk of the area where the proposed project is to be located or potential cybersecurity vulnerability, as applicable, to be addressed by the proposed project; 
(3) documentation prepared by a Federal, State, regional, or local government agency of the natural hazard risk of the area where the proposed project is to be located or potential cybersecurity vulnerability, as applicable, of the area where the proposed project is to be located;
(4) a description of any recent natural hazard risk of the area where the proposed project is to be located or potential cybersecurity vulnerabilities that have affected the publicly owned treatment works; 
(5) a description of how the proposed project would improve the performance of the publicly owned treatment works under an anticipated natural hazard or natural hazard risk of the area where the proposed project is to be located or a potential cybersecurity vulnerability, as applicable; and 
(6) an explanation of how the proposed project is expected to enhance the resilience of the publicly owned treatment works to a natural hazard risk of the area where the proposed project is to be located or a potential cybersecurity vulnerability, as applicable.</t>
  </si>
  <si>
    <t>50206. Small and medium publicly owned treatment works circuit rider program.</t>
  </si>
  <si>
    <t>small and medium publicly owned treatment works circuit rider program</t>
  </si>
  <si>
    <t>• amends Title II of the Federal Water Pollution Control Act by:
- establishing a new circuit rider program award grants to qualified nonprofit entities, as determined by the Administrator, to provide assistance to owners and operators of small and medium publicly owned treatment works to carry out activities described in section
602(b)(13).</t>
  </si>
  <si>
    <t xml:space="preserve">qualified nonprofit entities
max. $75k grant award. recipients must consult with the State in which the assistance is to be expended or otherwise made available. </t>
  </si>
  <si>
    <t>the Administrator shall give priority to qualified nonprofit entities, as determined by the Administrator, that would serve a community that— ‘‘(1) has a history, for not less than the 10 years prior to the award of the grant, of unresolved wastewater issues, stormwater issues, or a combination of wastewater and stormwater issues; ‘‘(2) is considered financially distressed; ‘‘(3) faces the cumulative burden of stormwater and wastewater overflow issues; or ‘‘(4) has previously failed to access Federal technical assistance due to cost-sharing requirements.</t>
  </si>
  <si>
    <t>50207. Small publicly owned treatment works efficiency grant program.</t>
  </si>
  <si>
    <t>small publicly owned treatment works efficiency program</t>
  </si>
  <si>
    <t xml:space="preserve">• amends Title II of the Federal Water Pollution Control Act by:
- establishing a new small publicly owned treatment works efficiency program to award grants to eligible entities for the replacement or repair of equipment that improves water or energy efficiency of small publicly owned treatment works, as identified in an efficiency audit. </t>
  </si>
  <si>
    <t>(1) an owner or operator of a small publicly owned treatment works that serves:
(A) a population of not more than 10,000 people; or 
(B) a disadvantaged community; or 
(2) a nonprofit organization that seeks to assist a small publicly owned treatment works described in paragraph (1) to carry out the activities described in subsection (a).
15% set aside for grants to publicly owned treatment works that serve fewer than 3,300 people.</t>
  </si>
  <si>
    <t>50208. Grants for construction and refurbishing of individual household decentralized wastewater systems for individuals with low or moderate income.</t>
  </si>
  <si>
    <t xml:space="preserve">• amends Title II of the Federal Water Pollution Control Act by:
- appropriating $50M per FY22-26 for establishing a new program to provide grants to private nonprofit organizations for the purpose of improving general welfare by providing assistance to eligible individuals—
(A) for the construction, repair, or replacement of an individual household decentralized wastewater treatment system; or
(B) for the installation of a larger decentralized wastewater system designed to provide treatment for 2 or more households in which eligible individuals reside, if—
(i) site conditions at the households are unsuitable for the installation of an individually owned decentralized wastewater system;
(ii) multiple examples of unsuitable site conditions exist in close geographic proximity to each other; and
(iii) a larger decentralized wastewater system could be cost-effectively installed. 
</t>
  </si>
  <si>
    <t xml:space="preserve">• the Administrator shall give priority to applicants that have substantial expertise and experience in promoting the safe and effective use of individual household decentralized wastewater systems.
• In awarding grants under this subsection, a private nonprofit organization shall give priority to any eligible individual who does not have access to a sanitary
sewage disposal system. </t>
  </si>
  <si>
    <t>50210. Clean water State revolving funds.</t>
  </si>
  <si>
    <t>Resiliency, Buildings</t>
  </si>
  <si>
    <t>Clean Water State Revolving Funds</t>
  </si>
  <si>
    <t>• amends Section 603 of the Federal Water Pollution Control Act by: 
- expanding the use of funds to forgiveness of "of principal, grants, negative interest loans, other loan forgiveness, and through buying, refinancing, or restructuring debt"
- amending the total amount of subsidization to the following: For each fiscal year, of the amount of the capitalization grant received by the State under this title, the total amount of additional subsidization made available by a State under paragraph (1)—
(I) may not exceed 30 percent; and
(II) to the extent that there are sufficient applications for assistance to communities described in that paragraph, may not be less than 10 percent.
(ii) EXCLUSION.—A loan from the water pollution control revolving fund of a State with an interest rate equal to or greater than 0 percent shall not be considered additional subsidization for purposes of this subparagraph.
- by adding a clause on additional use of funds, to allow States to use an additional 2 percent of the funds annually awarded to each State under this title for nonprofit organizations or State, regional, interstate, or municipal entities to provide technical assistance to rural, small, and tribal publicly owned treatment works in the State
- extending appropriations authorizations for FY22-26: 
(1) $2,400,000,000 for fiscal year 2022;
(2) $2,750,000,000 for fiscal year 2023;
(3) $3,000,000,000 for fiscal year 2024; and
(4) $3,250,000,000 for each of fiscal years 2025 and 2026
 • Divisions J appropriates:
- $11.713B for capitalization grants for the Clean Water State Revolving Funds under title VI of the Federal Water Pollution Control Act (FY22: $1.9M; FY23: $2.2M; FY23: $2.4M; FY24: $2.6M; FY25: $2.6M; FY26: $2.6M;), with 49% of the funds made available to each State for Clean Water State Revolving Fund capitalization grants shall be used by the State to provide subsidy to eligible recipients in the form of assistance agreements with 100 percent forgiveness of principal or grants
- $1B for capitalization grants for the Clean Water State Revolving Funds under title VI of the Federal Water Pollution Control Act (FY22: $100M; FY23: $225M; FY23: $225M; FY24: $225M; FY25: $225M; FY26: $225M)</t>
  </si>
  <si>
    <t>Loan fund</t>
  </si>
  <si>
    <t>50211. Water infrastructure and workforce investment.</t>
  </si>
  <si>
    <t>Equity, resilience</t>
  </si>
  <si>
    <t>• amends Section 4304 of the America’s Water Infrastructure Act of 2018 by:
- including Tribal governments among collaborators
- expanding workforce goals by expanding possible employers as well as adding sustainability of the water and wastewater utility workforce as an objective
- including diversity in recruitment as an objective, and focusing on expanding opportunities for the workforce
- calling on the Administrator, in coordination with DoEd, DOL, USDA, and VA to submit to Congress a report describing potential solutions to recruitment, training, and retention challenges in the water and wastewater utility workforce
- extending authorized appropriations of $5M per FY22-26</t>
  </si>
  <si>
    <t>50212. Grants to Alaska to improve sanitation in rural and Native villages.</t>
  </si>
  <si>
    <t xml:space="preserve">resilience </t>
  </si>
  <si>
    <t>• amends Section 303 of the Safe Drinking Water Act by:
- increasing the federal share from 50% to 75% 
- extending authorized appropriations for FY22-26:
(1) $40,000,000 for each of fiscal years 2022 through 2024;
(2) $50,000,000 for fiscal year 2025; and
(3) $60,000,000 for fiscal year 2026</t>
  </si>
  <si>
    <t>The State of Alaska</t>
  </si>
  <si>
    <t>50213. Water data sharing pilot program.</t>
  </si>
  <si>
    <t>water data sharing pilot program</t>
  </si>
  <si>
    <t xml:space="preserve">• establishes a new competitive grant pilot program of $15M per FY22-26 to award grants to eligible entities under subsection (b) to establish systems that improve the sharing of information concerning water quality, water infrastructure needs, and water technology, including cybersecurity technology, between States or among counties and other units of local government within a State, which may include:
(A) establishing a website or data hub to exchange water data, including data on water quality or water technology, including new and emerging, but proven, water technology; and
(B) intercounty communications initiatives related to water data. </t>
  </si>
  <si>
    <t>new</t>
  </si>
  <si>
    <t>competitive grant</t>
  </si>
  <si>
    <t xml:space="preserve">(1) a State, county, or other unit of local government that— (A) has a coastal watershed with significant pollution levels; (B) has a water system with significant pollution levels; or (C) has significant individual water infrastructure deficits; or (2) a regional consortium established under subsection (d).
max. 35% of funds for regional consortia. 
(d) REGIONAL CONSORTIA. (2) REQUIREMENTS:
A regional consortium established under paragraph (1) shall:
(A) include not fewer than 2 States that have entered into a memorandum of understanding—
(i) to exchange water data, including data on water quality; or
(ii) to share information, protocols, and procedures with respect to projects that evaluate, demonstrate, or install new and emerging, but proven, water technology;
(B) carry out projects—
(i) to exchange water data, including data on water quality; or
(ii) that evaluate, demonstrate, or install new and emerging, but proven, water technology; and
(C) develop a regional intended use plan, in accordance with paragraph (3), to identify projects to carry out,
including projects using grants received under this section. </t>
  </si>
  <si>
    <t>50215. Water infrastructure financing reauthorization.</t>
  </si>
  <si>
    <t xml:space="preserve">• amends Section 5033 of the Water Infrastructure Finance and Innovation Act of 2014 by:
- extending authorization of appropriations for $50M for each FY22-26 
- adding an Outreach Plan requiring the Administrator, not later than 180 days after enactment, to develop and begin implementation of an outreach plan to promote financial assistance available under this subtitle to small communities and rural communities
</t>
  </si>
  <si>
    <t>50217. Stormwater infrastructure technology.</t>
  </si>
  <si>
    <t>Centers of Excellence for Stormwater Control Infrastructure Technologies;
Stormwater Control Infrastructure Project Grants</t>
  </si>
  <si>
    <t>• with $5M per FY22-26, establishes centers of excellence for stormwater control infrastructure technologies, for which the Administrator shall provide grants, on a competitive basis, to eligible institutions to establish and maintain not less than 3, and not more than 5, centers of excellence for new and emerging stormwater control infrastructure technologies, to be located in various regions throughout the United States.
- these centers shall perform general operations which include: (v) provide technical assistance to State, Tribal, and local governments to assist with the design, construction, operation, and maintenance of stormwater control infrastructure projects that use innovative technologies.
- one center will be designated as the ‘‘national electronic clearinghouse center’’ to maintain and post a database of all new and emerging stormwater infrastructure technologies at all centers
• for $10M per FY22-26, provides grants, on a competitive basis, to eligible entities to carry out stormwater control infrastructure projects that incorporate new and emerging, but proven, stormwater control technologies in accordance with this subsection. These include: 
(A) max. 1/3 of funds to planning and development grants (for a max. $200k grant), and
(B) max. 2/3 of funds to implementation grants (for a max. $2M per grant)</t>
  </si>
  <si>
    <t>higher education institutions, research institutions,
or a nonprofit organization
The term ‘‘eligible institution’’ means an institution of higher education, a research institution, or a nonprofit organization— (A) that has demonstrated excellence in researching and developing new and emerging stormwater control infrastructure technologies; and (B) with respect to a nonprofit organization, the core mission of which includes water management, as determined by the Administrator.</t>
  </si>
  <si>
    <t>(A) IN GENERAL.—Except as provided in subparagraph (C), the Federal share of a grant provided under this subsection shall not exceed 80 percent of the total project cost. 
(B) CREDIT FOR IMPLEMENTATION GRANTS.—The Administrator shall credit toward the non-Federal share of the cost of an implementation project carried out under this subsection the cost of planning, design, and construction work completed for the project using funds other than funds provided under this section. 
(C) EXCEPTION.—The Administrator may waive the Federal share limitation under subparagraph (A) for an eligible entity that has adequately demonstrated financial need.</t>
  </si>
  <si>
    <t xml:space="preserve">• Centers: To be eligible to receive a grant under this subsection, an eligible institution shall prepare and submit to the Administrator an application at such time, in such form, and containing such information as the Administrator may require.
• Grants Program: to be eligible to receive a grant under this subsection, an eligible entity shall prepare and submit to the Administrator an application at such time, in such form, and containing such information as the Administrator may require, including,
as applicable—
(A) a description of the stormwater control infrastructure project that incorporates new and emerging, but proven, technologies;
(B) a plan for monitoring the impacts and pollutant
load reductions associated with the stormwater control infrastructure project on the water quality and quantity;
(C) an evaluation of other environmental, economic, and social benefits of the stormwater control infrastructure project; and
(D) a plan for the long-term operation and maintenance of the stormwater control infrastructure project and a tracking system, such as asset management practices
-- In making grants under this subsection, the Administrator shall give priority to applications submitted on behalf of—
(A) a community that—
(i) has municipal combined storm and sanitary sewers in the collection system of the community; or 
(ii) is a small, rural, or disadvantaged community,
as determined by the Administrator; or
(B) an eligible entity that will use not less than 15
percent of the grant to provide service to a small, rural, or disadvantaged community, as determined by the Administrator. </t>
  </si>
  <si>
    <t>50218. Water Reuse Interagency Working Group.</t>
  </si>
  <si>
    <t>Water Reuse Interagency Working Group</t>
  </si>
  <si>
    <t>6 years after enactment</t>
  </si>
  <si>
    <t xml:space="preserve">• establishes a Working Group to develop and coordinate actions, tools, and resources to advance water reuse across the United States, including through the implementation of the February 2020 National Water Reuse Action Plan, which creates opportunities for water reuse in the mission areas of each of the Federal agencies included in the Working Group under subsection (c) (referred to in this section as the ‘‘Action Plan’’). 
• the Working Group shall—
(1) with respect to water reuse, leverage the expertise of industry, the research community, nongovernmental organizations, and government;
(2) seek to foster water reuse as an important component of integrated water resources management;
(3) conduct an assessment of new opportunities to advance water reuse and annually update the Action Plan with new actions, as necessary, to pursue those opportunities;
(4) seek to coordinate Federal programs and policies to support the adoption of water reuse;
(5) consider how each Federal agency can explore and identify opportunities to support water reuse through the programs and activities of that Federal agency; and
(6) consult, on a regular basis, with representatives of relevant industries, the research community, and nongovernmental organizations. </t>
  </si>
  <si>
    <t>Interagency WG</t>
  </si>
  <si>
    <t>50219. Advanced clean water technologies study</t>
  </si>
  <si>
    <t>• Instructs the Administrator to carry out a study that examines the state of existing and potential future technology, including technology that could address cybersecurity vulnerabilities, that enhances or could enhance the treatment, monitoring, affordability, efficiency, and safety of wastewater services provided by a treatment works</t>
  </si>
  <si>
    <t>Division G - Other Authorizations</t>
  </si>
  <si>
    <t>Title I - Indian Water Rights Settlement Completion Fund</t>
  </si>
  <si>
    <t>resilience, equity</t>
  </si>
  <si>
    <t>Indian Water Rights Settlement Completion Fund</t>
  </si>
  <si>
    <t>None</t>
  </si>
  <si>
    <t>• for transfers to funds or accounts authorized to receive discretionary appropriations, or to satisfy other obligations identified by the Secretary of the Interior, under an Indian water settlement approved and authorized by an Act of Congress before the date of enactment of this Act</t>
  </si>
  <si>
    <t>TITLE IV—Recycling Practices</t>
  </si>
  <si>
    <t>power, industry</t>
  </si>
  <si>
    <t xml:space="preserve">Best practices for collection of batteries to be recycled
Administrator shall develop best practices that may be implemented by State, Tribal, and local governments with respect to the collection of batteries to be recycled in a manner that (A) to the maximum extent practicable, is technically and economically feasible for State, Tribal, and local governments; (B) is environmentally sound and safe for waste management workers; and (C) optimizes the value and use of material derived from recycling of batteries. </t>
  </si>
  <si>
    <t>States consulted</t>
  </si>
  <si>
    <t>industry</t>
  </si>
  <si>
    <t>award competitive grants to eligible entities to improve the effectiveness of residential and community recycling programs through public education and outreach</t>
  </si>
  <si>
    <t>(i) a State;
(ii) a unit of local government;
(iii) an Indian Tribe (as defined in section 4 of
the Indian Self-Determination and Education Assistance Act (25 U.S.C. 5304));
(iv) a Native Hawaiian organization (as defined in section 6207 of the Elementary and Secondary Education Act of 1965 (20 U.S.C. 7517));
(v) the Department of Hawaiian Home Lands;
(vi) the Office of Hawaiian Affairs;
(vii) a nonprofit organization; or
(viii) a public-private partnership</t>
  </si>
  <si>
    <t xml:space="preserve"> Division G - Other Authorizations; Division J - Appropriations</t>
  </si>
  <si>
    <t>Title V - Bioproduct Pilot Program</t>
  </si>
  <si>
    <t>Bioproduct Pilot Program</t>
  </si>
  <si>
    <t xml:space="preserve">• $2M authorized for each FY22 and FY23
• $10M appropriated in Division J; $5M for FY22, and $5M for FY23
• to carry out a pilot program under which the Secretary shall partner with not less than 1 qualified institution to study the benefits of using materials derived from covered agricultural commodities in the production of construction products and consumer products, including—
[...]
(2) greenhouse gas emission reductions and other environmental benefits relative to other commonly used alternative materials;
[...]
(7) any other benefits that the Secretary determines to be appropriate. </t>
  </si>
  <si>
    <t>Pilot</t>
  </si>
  <si>
    <t xml:space="preserve"> Division G - Other Authorizations</t>
  </si>
  <si>
    <t>Title XI - Clean School Buses and Ferries</t>
  </si>
  <si>
    <t>Clean School Bus Program</t>
  </si>
  <si>
    <t xml:space="preserve"> $1B for each FY 22 to 26, with 50 percent to replace existing school buses with zero-emission school buses; and 50 percent to replace existing school buses with clean school buses and zero-emission school buses. </t>
  </si>
  <si>
    <t>Grant/Rebate</t>
  </si>
  <si>
    <t>the term ‘eligible recipient’ means— 
(i) 1 or more local or State governmental entities responsible for— ‘‘(I) providing school bus service to 1 or more public school systems; or ‘‘(II) the purchase of school buses; 
(ii) an eligible contractor; 
(iii) a nonprofit school transportation association; or 
(iv) an Indian Tribe (as defined in section 4 of the Indian Self-Determination and Education Assistance Act (25 U.S.C. 5304)), Tribal organization (as defined in that section), or tribally controlled school (as defined in section 5212 of the Tribally Controlled Schools Act of 1988 (25 U.S.C. 2511)) that is responsible for— ‘‘(I) providing school bus service to 1 or more Bureau-funded schools (as defined in section 1141 of the Education Amendments of 1978 (25 U.S.C. 2021)); or ‘‘(II) the purchase of school buses.</t>
  </si>
  <si>
    <t xml:space="preserve">In making awards under paragraph (1), the Administrator may make awards for up to 100 percent of the costs for replacement of existing school buses with clean school buses, zero-emission school buses, and charging or fueling infrastructure. </t>
  </si>
  <si>
    <t>Electric or Low-Emitting Ferry Pilot Program</t>
  </si>
  <si>
    <t>• $50M for each FY 22-26
• pilot program to provide grants for the purchase of electric or low-emitting ferries and the electrification of or other reduction of emissions from existing ferries</t>
  </si>
  <si>
    <t xml:space="preserve">Grant </t>
  </si>
  <si>
    <t>In carrying out the pilot program under this section, the Secretary shall ensure that (1) not less than 1 grant under this section shall be for a ferry service that serves the State with the largest number of Marine Highway System miles; and 
(2) not less than 1 grant under this section shall be for a bi-State ferry service— (A) with an aging fleet; and (B) whose development of zero and low emission power source ferries will propose to advance the state of the technology toward increasing the range and capacity of zero emission power source ferries.</t>
  </si>
  <si>
    <t>• $200M for each FY 22-26
• establishes a program to ensure that basic essential ferry service is provided to rural areas by providing funds to States to provide such basic essential ferry service.</t>
  </si>
  <si>
    <t>Division H—Revenue Provisions</t>
  </si>
  <si>
    <t>Title II - Chemical Superfund</t>
  </si>
  <si>
    <t>80201. Extension and modification of certain superfund excise taxes.</t>
  </si>
  <si>
    <t>Remediation, Industry</t>
  </si>
  <si>
    <t>Chemical superfund</t>
  </si>
  <si>
    <t>• reinstates Section 4661(c) of the Internal Revenue Code of 1986, extending an excise tax on chemical manufacturing and imports until December 31, 2031.
• doubles the tax per ton from the 1986 code for chemical substances
• increases the rate of tax where the importer does not furnish information to the Secretary from 5 to 10%
• amends Section 4672(a)(2)(B) of the Internal Revenue Code of 1986 by making substances taxable if chemicals account for 20% or more of their weight (previously 50%)
• instructs the Treasury Secretary to publish an initial list of taxable substances under section 4672(a) of the Internal Revenue Code of 1986 by January 1, 2022.</t>
  </si>
  <si>
    <t>I—Agriculture, Rural Development, Food and Drug Administration, and Related Agencies</t>
  </si>
  <si>
    <t>Department of Agriculture: Rural Development Programs</t>
  </si>
  <si>
    <t xml:space="preserve">Power </t>
  </si>
  <si>
    <t>Rural Utilities Service—Distance Learning, Telemedicine, and Broadband Program</t>
  </si>
  <si>
    <t xml:space="preserve">• $74M for the cost of broadband loans, as authorized by section 601 of the Rural Electrification Act
• $1.926M shall be for the broadband loan and grant pilot program established by section 779 of Public Law 115–141 under the Rural Electrification Act of 1936, as amended (7 U.S.C. 901 et seq.)
• At least 50% of the households to be served by a project receiving a loan or grant from these funds shall be in a rural area, as defined in section 601(b)(3) of the Rural Electrification Act, without sufficient access
to broadband -- having speeds of not less than 25 megabits per second downloads and 3 megabits per second uploads
• 10% of the amounts made available for the pilot program shall be set aside for service areas where at least 90% of households to be served by a project receiving a loan or grant are in a rural area without sufficient access to broadband
• To the extent possible, projects receiving funds provided for the pilot program must build out service to at least 100 megabits per second downloads and 20 megabits per second uploads
• $50M of the funds for the pilot program may be used for the purpose of ‘‘Areas Rural in Character’’, as defined in section 343(a)(13)(D) of the Consolidated Farm and Rural Development Act
 • pole attachment fees and replacements charged by electric cooperatives for the shared use of their utility poles shall be an eligible use of funds 
• Max. 3% of funds shall be for technical assistance and predevelopment planning activities to support rural communities, of which $5M shall have a priority for the establishment and growth of cooperatives to offer broadband, which shall be transferred to and merged with the appropriation for ‘‘Rural Development, Salaries and Expenses’’
• the Secretary may transfer funds provided under this heading in this Act between broadband loans,
as authorized by section 601 of the Rural Electrification Act, and the pilot program to accommodate demand
</t>
  </si>
  <si>
    <t>• the Secretary shall waive any matching funds required for pilot program projects funded from amounts provided under this heading in this Act for Alaska Native Corporations for federally-recognized Tribes, on substantially underserved Trust areas, as defined in 7 U.S.C. 936f(a)(2), and residents of a rural area that was recognized as a colonia as of October 1, 1989, and for projects in which 75 percent of the service area is a persistent poverty county or counties
 • for purposes of the preceding proviso, the term ‘‘persistent poverty counties’’ means any county that has had 20 percent or more of its population living in poverty over the past 30 years, as measured by the 1990 and 2000 decennial censuses, and 2007–2011 American Community Survey 5–6 year average, or any territory or possession of the United States</t>
  </si>
  <si>
    <t>II—Commerce, justice, science, and related agencies</t>
  </si>
  <si>
    <t>DOC</t>
  </si>
  <si>
    <t xml:space="preserve">Pacific Coastal Salmon Recovery </t>
  </si>
  <si>
    <t>Investigations</t>
  </si>
  <si>
    <t xml:space="preserve">• for Investigations
• $30M to undertake work authorized to be carried out in accordance with section 22 of the Water Resources Development Act of 1974, as amended
• $45M  to undertake work authorized to be carried out in accordance with section 206 of the 1960 Flood Control Act (Public Law 86–645), as amended
• $75M for necessary expenses related to the completion, or initiation and completion, of studies which are authorized prior to the date of enactment of this Act, of which $30M to become available on October 1, 2022, shall be used to complete, or to initiate and complete, studies carried out in accordance with section 118 of division AA of the Consolidated Appropriations Act, 2021 (Public Law 116–260), except that the limitation on the number of studies authorized to be carried out under section 118(b) and section 118(c) shall not apply
</t>
  </si>
  <si>
    <t>MISSISSIPPI RIVER AND TRIBUTARIES</t>
  </si>
  <si>
    <t>• for ‘‘Mississippi River and Tributaries’’
• $258M, obligated 90 days after enactment of this Act, shall be used for necessary expenses to address emergency situations at Corps of Engineers Federal projects caused by natural disasters
• the limitation concerning total project costs in section 902 of the Water Resources
Development Act of 1986 (Public Law 99–662; 33 U.S.C. 2280), as amended, shall not apply to any project receiving funds provided under this heading in this Act</t>
  </si>
  <si>
    <t>OPERATION AND MAINTENANCE</t>
  </si>
  <si>
    <t>• $2B for FY22; of which $626M shall be obligated within 90 days of enactment of this Act, shall be used for necessary expenses to dredge Federal navigation projects in response to, and repair damages to Corps of Engineers Federal projects caused by, natural disasters
• $1B for FY23; $1B for FY24
• $40M shall be to carry out Soil Moisture and Snowpack Monitoring activities, as authorized in section 4003(a) of the Water Resources Reform and Development Act of 2014, as amended
up to 3% of the amounts made available under this heading in this Act for any fiscal year may be transferred to ‘‘Regulatory Program’’ or ‘‘Expenses’’ to carry out activities funded by those accounts</t>
  </si>
  <si>
    <t>WATER INFRASTRUCTURE FINANCE AND INNOVATION PROGRAM ACCOUNT</t>
  </si>
  <si>
    <t>• for ‘‘Water Infrastructure Finance and Innovation Program Account’’
• $64M for the cost of direct loans and for the cost of guaranteed loans, for safety projects to maintain, upgrade, and repair dams identified in the National Inventory of Dams with a primary owner type of state, local government, public utility, or private
• no project may be funded with amounts provided under this heading for a dam that is identified as jointly owned in the National Inventory of Dams and where one of those joint owners is the Federal Government
• $11M for administrative expenses to carry out the direct and guaranteed loan programs, notwithstanding section 5033 of the Water Infrastructure Finance and Innovation Act of 2014</t>
  </si>
  <si>
    <t>$11M</t>
  </si>
  <si>
    <t>DEPARTMENT OF THE INTERIOR</t>
  </si>
  <si>
    <t>CENTRAL UTAH PROJECT</t>
  </si>
  <si>
    <t>DOI</t>
  </si>
  <si>
    <t>• for ‘‘Central Utah Project Completion Account’’
• $10M shall be deposited into the Utah Reclamation Mitigation and Conservation Account for use by the Utah Reclamation Mitigation and Conservation Commission</t>
  </si>
  <si>
    <t>DOE Programs</t>
  </si>
  <si>
    <t>EERE</t>
  </si>
  <si>
    <t xml:space="preserve">
$40,000,000 shall be for carrying out activities for the Wind Energy Technology Recycling Research, Development, and Demonstration Program</t>
  </si>
  <si>
    <t>WAPA</t>
  </si>
  <si>
    <t>• ‘Construction, Rehabilitation, Operation and Maintenance, Western Area Power Administration’’,
• $500,000,000, to remain available until expended, for the purchase of power and transmission services:  Provided, That the amount made available under this heading in this Act shall be derived from the general fund of the Treasury and shall be reimbursable from amounts collected by the Western Area Power Administration pursuant to the Flood Control Act of 1944 and the Reclamation Project Act of 1939 to recover purchase power and wheeling expenses: Provided further, That such amounts as the Administrator, Western Area Power Administration, deems necessary for the same purposes as outlined above may be transferred to Western Area Power Administration’s Colorado River Basins Power Marketing Fund account:</t>
  </si>
  <si>
    <t>V - Homeland Security</t>
  </si>
  <si>
    <t>Protection, preparedness, response, and recovery</t>
  </si>
  <si>
    <t>Federal emergency management agency</t>
  </si>
  <si>
    <t>FEMA</t>
  </si>
  <si>
    <t>• $148,000,000 of the amounts made available under this paragraph in this Act shall be for grants to States pursuant to section 8(e) of the National Dam Safety Program Act (33 U.S.C. 467f(e))
• $585,000,000 of the amounts made available under this paragraph in this Act shall be for grants to States pursuant to section 8A of the National Dam Safety Program Act (33 U.S.C. 467f–2), of which no less than $75,000,000 shall be for the removal of dams</t>
  </si>
  <si>
    <t>• for grants to states, local, tribal, and territorial governments for improvement to cybersecurity and critical infrastructure, as authorized by section 2218 of the Homeland Security Act of 2002,
• FY22: $200M; FY23: $400M; FY24: $300M; FY25: $100M</t>
  </si>
  <si>
    <t>Indian Affairs</t>
  </si>
  <si>
    <t>Resilience, Power, NWL, Equity</t>
  </si>
  <si>
    <t>•$216M for Bureau of Indian Affairs Operation of Indian Programs for Tribal climate resilience, adaptation, and community relocation planning, design, and implementation of projects which address the varying climate challenges facing Tribal communities across the country ($43M a year)
o $130M for community relocation
o $86M for Tribal climate resilience and adaptation projects
•$250M for Bureau of Indian Affairs Construction for construction, repair, improvement, and maintenance of irrigation and power systems, safety of dams, water sanitation, and other facilities
o $50M for addressing irrigation and power systems
o $200M for safety of dams, water sanitation, and other facilities</t>
  </si>
  <si>
    <t xml:space="preserve"> $1.7B for Geographic Programs ($343M per year)
$1B for Great Lakes Restoration Initiative; $238M for Chesapeake Bay; $24M for San Francisco Bay; $89M for Puget Sound; $106M for Long Island Sound; $53M for Gulf of Mexico; $16M for South Florida; $40M for Lake Champlain $53M for Lake Pontchartrain; $15M for Southern New England Estuaries; $79M for Columbia River Basin; $4M for other geographic activities which includes Pacific Northwest</t>
  </si>
  <si>
    <t>Administrator may waive or reduce the required non-Federal share for amounts made available</t>
  </si>
  <si>
    <t>Hazardous substance superfund</t>
  </si>
  <si>
    <t xml:space="preserve">Hazardous substance superfund -  section 517(a) of the Superfund Amendments and Reauthorization Act of 1986 (SARA) </t>
  </si>
  <si>
    <t>State and tribal assistance grants</t>
  </si>
  <si>
    <t>•$5,000,000,000 for grants for addressing emerging contaminants under subsections (a) through (j) of section 1459A of the Safe Drinking Water Act (42 U.S.C. 300j–19a)</t>
  </si>
  <si>
    <t>• $1,500,000,000 for brownfields activities (300M a year)</t>
  </si>
  <si>
    <t>DEPARTMENT OF HEALTH AND HUMAN SERVICES</t>
  </si>
  <si>
    <t>Remediation, EJ</t>
  </si>
  <si>
    <t>• for ‘‘Indian Health Facilities’’
• $3.5B ($700M per FY22-26) for the provision of domestic and community sanitation facilities for Indians, as authorized by section 7 of the Act of August 5, 1954 (68 Stat. 674)
- up to $2.2B of these funds  shall be for projects that exceed the economical unit cost 
• one-half of one percent of the amounts made available under this heading in this Act in each FY22-26 shall be transferred to the Office of Inspector General of the Department of Health and Human Services for oversight of funding provided to the Department of Health and Human Services in this title in this Act</t>
  </si>
  <si>
    <t>VII - Labor, health and human services, and education, and related agencies</t>
  </si>
  <si>
    <t>Department of health and human services</t>
  </si>
  <si>
    <t>Low Income Home Energy Assistance</t>
  </si>
  <si>
    <t>$500M Low Income Home Energy Assistance ($100M a year)</t>
  </si>
  <si>
    <t xml:space="preserve">VIII - Transportation, housing and urban development, and related agencies </t>
  </si>
  <si>
    <t>Port Infrastructure Development Program</t>
  </si>
  <si>
    <t>•FY22: $450,000,000 (available until September 30, 2032); FY23: $450,000,000 (available until September 30, 2033);  FY24: $450,000,000 (available until September 30, 2034); FY25: $450,000,000 (available until September 30, 2035);  FY26: $450,000,000 (available until September 30, 2036);  
• shall also include projects that improve the resiliency of ports to address sea-level rise, flooding, extreme weather events, earthquakes, and tsunami inundation, as well as projects that reduce or eliminate port-related criteria pollutant or greenhouse gas emissions, including projects for—
(1) Port electrification or electrification master planning; (2) Harbor craft or equipment replacements/retrofits; (3) Development of port or terminal micro-grids; (4) Providing idling reduction infrastructure; (5) Purchase of cargo handling equipment and related infrastructure; (6) Worker training to support electrification technology; (7) Installation of port bunkering facilities from oceangoing vessels for fuels; (8) Electric vehicle charge or hydrogen refueling infrastructure for drayage, and medium or heavy duty trucks and locomotives that service the port and related grid upgrades; or (9) Other related to port activities including charging infrastructure, electric rubber-tired gantry cranes, and anti-idling
technologies</t>
  </si>
  <si>
    <t>Ports</t>
  </si>
  <si>
    <t>FTA</t>
  </si>
  <si>
    <t>Transit Infrastructure Grants</t>
  </si>
  <si>
    <t>For an additional amount for ‘‘Transit Infrastructure Grants’’, ( $2.05B a year FY22-26)
$4.8B for state of good repair grants (5337(c) and (d) title 4
$5.3B for low or no emission grants (5339(c) title 49)
$250M for formula grants for the enhanced mobility of seniors and individuals with disabilities (5310 title 49)</t>
  </si>
  <si>
    <t>Capital Investment Grants</t>
  </si>
  <si>
    <t>• Discretionary grant program funds transit capital investments, including heavy rail, commuter rail, light rail, streetcars, and bus rapid transit
• 55 percent for New Starts; 20 percent for Core Capacity projects; 15 percent for Small Starts; 10 percent for Expedited Project Delivery projects</t>
  </si>
  <si>
    <t>Discretionary</t>
  </si>
  <si>
    <t>Natural Gas Distribution Infrastructure Safety and Modernization Grant Program</t>
  </si>
  <si>
    <t>Pipeline and hazardous materials safety administration - Natural Gas Distribution Infrastructure Safety and Modernization Grant Program
• FY22: $200M available until September 30, 2032; FY23: $200M available until September 30, 2033; FY24: $200M available until September 30, 2034; FY25: $200M available until September 30, 2035; FY26: $200M available until September 30, 2036
• To (1) reduce incidents and fatalities and (2) avoid economic losses</t>
  </si>
  <si>
    <t xml:space="preserve">Municipalities and municipal utilities </t>
  </si>
  <si>
    <t>12.5 percent cap on funding to a single municipality or community-owned utility</t>
  </si>
  <si>
    <t>11103. Definitions</t>
  </si>
  <si>
    <t>The term ‘resilience’, with respect to a project, means a project with the ability to anticipate, prepare for, or adapt to conditions or withstand, respond to, or recover rapidly from disruptions, including the ability—‘‘(A)(i) to resist hazards or withstand impacts from weather events and natural disasters; or (ii) to reduce the magnitude or duration of impacts of a disruptive weather event or natural disaster on a project; and ‘(B) to have the absorptive capacity, adaptive capacity, and recoverability to decrease project vulnerability to weather events or other natural disasters.’’;</t>
  </si>
  <si>
    <t>11104. Apportionment</t>
  </si>
  <si>
    <t>• Admin expenses by year
• state and MPO share allocation for programs (incl. CMAQ, PROTECT, Carbon Reduction Program)</t>
  </si>
  <si>
    <t>11105. National Highway Performance Program</t>
  </si>
  <si>
    <t>National Highway Performance Program</t>
  </si>
  <si>
    <t>• Adds for providing "support for activities to increase the resiliency of the National Highway System to mitigate the cost of damages from sea level rise, extreme weather events, flooding, wildfires, or other natural disasters."
• Adds "undergrounding public utility infrastructure carried out in conjunction with a project otherwise eligible under this section."
• Protective Features include raising highway grades; relocating roadways in base floodplains; stabilizing slide and slope; etc.</t>
  </si>
  <si>
    <t>State may use not more than 15 percent of the funds apportioned to the State under section
104(b)(1) for each fiscal year for 1 or more protective features on a Federal-aid highway or bridge not on the National Highway System, if the protective feature is designed to mitigate the risk of recurring damage or the cost of future repairs from extreme weather events, flooding, or other natural disasters.</t>
  </si>
  <si>
    <t>11121. Construction of Ferry Boats and Ferry Terminal Facilities</t>
  </si>
  <si>
    <t>FY22: $110M, FY23:$112M, FY24:$114M, FY25:$116M, FY26:$118M
Division J appropriates $342M in FY22 until expended</t>
  </si>
  <si>
    <t xml:space="preserve">Formula </t>
  </si>
  <si>
    <t xml:space="preserve">11401; 
11101 (b)(1)(C); </t>
  </si>
  <si>
    <t xml:space="preserve">
• Charging and Fueling Infrastructure Grants (FY22: $300M, FY23: $400M, FY24: $500M, FY25: $600M, FY26: $700M). Authorizes $2.5B for DOT Alt. Fuel Corridors for publicly accessible fueling and charging. 
• establish a grant program to strategically deploy publicly accessible electric vehicle charging infrastructure, hydrogen fueling infrastructure, propane fueling infrastructure, and natural gas fueling infrastructure along designated alternative fuel corridors or in certain other locations that will be accessible to all drivers of electric vehicles, hydrogen vehicles, propane vehicles, and natural gas vehicles.
• application considers technology requirements, estimated emissions using AFLEET, market demand, etc.
• Can contract with a private entity for the acquisition, construction, installation, maintenance, or operation
• 50% for each FY dedicated to Community Grants (which includes a State or local authority with ownership of publicly accessible transportation facilities) to reduce GHG emissions and to expand or fill gaps in access to publicly accessible alternative fueling/charging. Grants are for planning as well as acquisition and installation </t>
  </si>
  <si>
    <t>state and local governments, MPOs and other public-sector entities</t>
  </si>
  <si>
    <t>80 percent  federal cost share cap. Applies to private entity contracted with as well.</t>
  </si>
  <si>
    <t xml:space="preserve">13006; 11101 (b)(2)(E); </t>
  </si>
  <si>
    <t>Open Challenge &amp; Research Proposal Pilot Program (section 13006(e)). $15M for each FY 2022 through 2026</t>
  </si>
  <si>
    <t>Subtitle A - Multimodal Freight Policy</t>
  </si>
  <si>
    <t>21103. State collaboration with national multimodal
Freight network</t>
  </si>
  <si>
    <t>21203. National Culvert Removal, replacement, and restoration grant program</t>
  </si>
  <si>
    <t>National Culvert Removal, Replacement and Restoration Grant Program</t>
  </si>
  <si>
    <t xml:space="preserve"> • an annual competitive grant program to award grants to eligible entities for projects for the replacement, removal, and repair of culverts or weirs that meaningfully improve fish passage
• authorization of appropriations: $4B
• Division J supplemental appropriation $1B ($200M each FY)</t>
  </si>
  <si>
    <t>300002. Metropolitan Transportation Planning</t>
  </si>
  <si>
    <t>Housing Plan Coordination - MPO may coordinate with state, local, and other entities to integrate housing planning into the transportation planning process</t>
  </si>
  <si>
    <t xml:space="preserve">30005. Fixed Guideway Capital Investments </t>
  </si>
  <si>
    <t>Amends 49 U.S.C. § 5309. Reauthorizes the Capital Investments Grants (CIG) Program</t>
  </si>
  <si>
    <t xml:space="preserve">30007. Public Transportation Innovation </t>
  </si>
  <si>
    <t xml:space="preserve">Amends 49 U.S.C. § 5312. amends low and no emission testing facility provisions. </t>
  </si>
  <si>
    <t>authorizes the Secretary to reduce or waive matching requirements for research projects if there is substantial public benefit</t>
  </si>
  <si>
    <t>Resilience, Power; Efficiency; Transmission, Buildings</t>
  </si>
  <si>
    <t>Energy improvement in rural or remote areas</t>
  </si>
  <si>
    <t>• activities to improve in rural or remote areas - (A) the resilience, safety, reliability, and availability of energy; and (B) environmental protection from adverse impacts of energy generation. 
• financial assistance for overall cost-effectiveness of generation, transmission, and distribution systems; siting and upgrading transmission and distribution lines; reducing GHGs from generation in rural areas; modernizing generation facilities; microgrids; energy efficiency.
• Division J appropriates $1B for 40103(c) ($200M per year)</t>
  </si>
  <si>
    <t xml:space="preserve"> population of not more than 10,000 inhabitants</t>
  </si>
  <si>
    <t>40206. Critical minerals supply chains and reliability</t>
  </si>
  <si>
    <t>DOI, AG</t>
  </si>
  <si>
    <t xml:space="preserve">BLM and USFS permitting efficiency provisions, requirements and reporting related to critical minerals </t>
  </si>
  <si>
    <t>40211. 21st Century Energy Workforce Advisory Board</t>
  </si>
  <si>
    <t>Equity</t>
  </si>
  <si>
    <t>Board to support and develop a skilled energy workforce consisting 10-15 members with at least one represents a labor organization.</t>
  </si>
  <si>
    <t>40301. Findings</t>
  </si>
  <si>
    <t>congressional findings about the importance of CCUS. Including: "(8) each State should take into consideration, with respect to new carbon dioxide transportation infrastructure—(A) qualifying the infrastructure as pollution control devices under applicable laws (including regulations) of
the State; and (B) establishing a waiver of ad valorem and property taxes for the infrastructure for a period of not less than 10 years."</t>
  </si>
  <si>
    <t>40303. Carbon capture technology program</t>
  </si>
  <si>
    <t>Carbon Capture Technology Program</t>
  </si>
  <si>
    <t>Expands Carbon Capture Technology program to include a front-end engineering and design program for carbon dioxide transport infrastructure necessary to enable deployment of carbon capture, utilization, and storage technologies.</t>
  </si>
  <si>
    <t>40307. Geologic carbon sequestration on the outer Continental Shelf.</t>
  </si>
  <si>
    <t>Adds to leasing on the Outer Continental Shelf -- "provide for, support, or are directly related to the injection of a carbon dioxide stream into sub-seabed geologic formations for the purpose of long-term carbon sequestration"</t>
  </si>
  <si>
    <t>40331. Hydroelectric production incentives</t>
  </si>
  <si>
    <t xml:space="preserve">242 of Energy Policy Act of 2005. 
Cap increased from $750M to $1M per facility per calendar year. </t>
  </si>
  <si>
    <t>40332. Hydroelectric efficiency improvement incentives</t>
  </si>
  <si>
    <t>Section 243 of the Energy Policy Act of 2005 _x000D_</t>
  </si>
  <si>
    <t>40341. Solar Energy Technologies on Current and Former Mine Land</t>
  </si>
  <si>
    <t>Power, Solar</t>
  </si>
  <si>
    <t>Amends Section 3004 of the Energy Act of 2020 
• DOE to create a report on siting solar energy on current and former mine land, including necessary interconnection, transmission siting, and the impact on local job creation</t>
  </si>
  <si>
    <t>40343. Leases, easements, and rights-of-way for energy and related purposes on the Outer
Continental Shelf</t>
  </si>
  <si>
    <t>Adds storage to Outer Continental Shelf leasing</t>
  </si>
  <si>
    <t>Title IV - Enabling energy infrastructure investment and data collection</t>
  </si>
  <si>
    <t>A - Department of Energy Loan Program</t>
  </si>
  <si>
    <t>40401. Department of Energy Loan Programs</t>
  </si>
  <si>
    <t>• Clarifies repayment criteria 
• Expands the eligibility to include projects that increase the domestic supply of critical minerals
• Adds eligibility for "state energy financing institutions" (e.g. Green Banks)</t>
  </si>
  <si>
    <t>Loan, loan guarantee</t>
  </si>
  <si>
    <t>B - Energy Information Administration</t>
  </si>
  <si>
    <t>40412. Data collection in the electricity sector</t>
  </si>
  <si>
    <t>EIA</t>
  </si>
  <si>
    <t>• Within 90 days, establish an online database to track the operation of the bulk power system in the contiguous 48 States
• Within a year, to the maximum extent practicable, hourly operating data collected from the electricity balancing authorities that operate the bulk power system
• fuel source, demand, regional demand, electricity stored and discharged, estimated marginal GHGs per MWh where available, etc.</t>
  </si>
  <si>
    <t>40413. Expansion of energy consumption surveys</t>
  </si>
  <si>
    <t>Within 2 years, expand the Manufacturing Energy Consumption Survey, and the Residential Energy Consumption Survey to include data on energy end use (e.g. adding energy burden)</t>
  </si>
  <si>
    <t>40414. Data collection on electric vehicle integration with the electricity grids</t>
  </si>
  <si>
    <t>Within 1 year, develop and implement measures to expand data collection with respect to electric vehicle integration with the electricity grids.</t>
  </si>
  <si>
    <t xml:space="preserve">States to be consulted </t>
  </si>
  <si>
    <t>40415. Plan for the modeling and forecasting of demand for minerals used in the energy sector</t>
  </si>
  <si>
    <t>Within 180 days, develop a plan for the modeling and forecasting of demand
for energy technologies, including for energy production, transmission, or storage purposes, that use minerals that are or could be designated as critical minerals</t>
  </si>
  <si>
    <t>40416. Expansion of international energy data</t>
  </si>
  <si>
    <t>Within 1 year,  expand and improve the international energy data resources of the Energy Information Administration</t>
  </si>
  <si>
    <t>40417. Plan for the National Energy Modeling System</t>
  </si>
  <si>
    <t>Within 180 days, develop a plan to identify any need or opportunity to update or further the capabilities of the National Energy Modeling System</t>
  </si>
  <si>
    <t>40418. Report on costs of carbon abatement in the electricity sector</t>
  </si>
  <si>
    <t>Within 270 days, report to congress on (1) the potential use of levelized cost of carbon abatement
or a similar metric in analyzing generators of electricity (2) the feasibility and impact of incorporating levelized cost of carbon abatement in long-term forecasts (3) a potential process to measure carbon dioxide emissions intensity per unit of output production for a range of resources, sectors and regions. And a corresponding process to provide an empirical framework for reporting the status and costs of carbon dioxide reduction relative to specified goals</t>
  </si>
  <si>
    <t>40419. Harmonization of efforts and data</t>
  </si>
  <si>
    <t xml:space="preserve">harmonizing data collection across federal agencies </t>
  </si>
  <si>
    <t>C - Misc</t>
  </si>
  <si>
    <t>40431. Consideration of measures to promote greater electrification of the transportation sector</t>
  </si>
  <si>
    <t>Amends PURPA to add "Each State shall consider measures to promote greater electrification of
the transportation sector, including the establishment of rates that—‘(A) promote affordable and equitable electric vehicle charging options for residential, commercial, and public electric vehicle charging infrastructure; ‘(B) improve the customer experience associated with electric vehicle charging, including by reducing charging times for light-, medium-, and heavy-duty vehicles;‘(C) accelerate third-party investment in electric vehicle charging for light-, medium-, and heavy-duty vehicles; and ‘(D) appropriately recover the marginal costs of delivering electricity to electric vehicles and electric vehicle charging infrastructure."
• Within a year, each State regulatory authority shall commence and each nonregulated utility (consideration under section 111). Within 2 years, make the determination</t>
  </si>
  <si>
    <t>40434. Study and report by the Secretary of Energy on job loss and impacts on consumer energy costs due to the revocation of the permit for the Keystone XL pipeline</t>
  </si>
  <si>
    <t>Within 90 days, DOE to complete a study on the job loss and impacts on consumer energy costs related to revoking the permit for the Keystone XL pipeline</t>
  </si>
  <si>
    <t>40435. Study on impact of electric vehicles.</t>
  </si>
  <si>
    <t>Within 120 days, submit to Congress a report describing the results of, a study on the cradle to grave environmental impact of electric vehicles</t>
  </si>
  <si>
    <t>40436. Study on impact of forced labor in China on the electric vehicle supply chain</t>
  </si>
  <si>
    <t>DOE, DOS, DOC</t>
  </si>
  <si>
    <t>Within 120 days, report to  congress on the impact of forced labor in China on the electric vehicle supply chain</t>
  </si>
  <si>
    <t>40514. Commercial building energy consumption information sharing</t>
  </si>
  <si>
    <t>EIA, EPA</t>
  </si>
  <si>
    <t>Commercial Building Energy Consumption Survey</t>
  </si>
  <si>
    <t>Not later than 120 days, submit to Congress, an information sharing agreement relating to commercial building energy consumption data</t>
  </si>
  <si>
    <t>40553. Survey, analysis, and report on employment and demographics in the energy, energy efficiency, and motor vehicle sectors of the United States</t>
  </si>
  <si>
    <t xml:space="preserve">Energy Jobs Council </t>
  </si>
  <si>
    <t xml:space="preserve">Establishes an Energy Jobs Council to conduct a survey of employers in the energy, energy
efficiency, and motor vehicle sectors... and perform an analysis of the employment figures
and demographics in those sectors...
Report put out annually beginning with 1 year from enactment </t>
  </si>
  <si>
    <t>States energy office seat on council</t>
  </si>
  <si>
    <t>Title VI - Methane Reduction Infrastructure</t>
  </si>
  <si>
    <t>FY22-31</t>
  </si>
  <si>
    <t>• for orphaned well plugging, remediation, and restoration on Federal,  State, Tribal, or privately owned lands from FY22-31
• $250M for Federal lands
• $775M for initial grants to States 
• $2B for formula grants to States
• $1.5B for performance grants to States
• $150M for grants to Tribal governments
• $30M to the Secretary of Energy for R&amp;D 
• $2M in administrative costs for the Interstate Oil and Gas Compact Commission</t>
  </si>
  <si>
    <t>Initial, Formula, Performance</t>
  </si>
  <si>
    <t>States, Federal, Tribes
Eligibility varies and is noted in the program description</t>
  </si>
  <si>
    <t xml:space="preserve">• For state grants, applications are required for each type of grant
</t>
  </si>
  <si>
    <t>• Initial grants: not more than $25M per state that submits a request for funding within 180 days and meets all other requirements; and not more than $5M for all other states who meet minimum requirements. States must use funding within 1 year after receipt.
• formula grants: States have 5 years to expend the funds. States must submit an application; the factors considered are: 
- Job losses in the oil and gas industry in the State between March 1, 2020 and the date of enactment of IIJA
- The number of documented orphaned wells located in the State, and the projected cost to plug or reclaim those orphaned wells; to reclaim adjacent land; and to decommission or remove associated pipelines, facilities, and infrastructure.
• performance grants: States must submit an application in line with the one submitted for formula grants. Performance grants include:
- Regulatory Improvement Grants: available if States make improvements to either (I) plugging standards and procedures, or (II) State programs designed to reduce future abandoned well burdens. Max. 1 grant per state per criteria (I) and (II); max. $30M per grant
- Matching Grants: Funds received will equal the difference between the amount the State spent between 2010 and 2019 to plug wells and decommission well infrastructure, and the certified anticipated spending for the state during the current fiscal year. Max. 1 grant per state per FY, and max. $30M total per state between FY22-31</t>
  </si>
  <si>
    <t>• extends the distribution of the Abandoned Mine Reclamation Fund to 2036</t>
  </si>
  <si>
    <t xml:space="preserve">•  Within 1 year of enactment, DOI Secretary must conduct and submit to Congress a report describing the results of, a study on the feasibility of revegetating reclaimed mined sites, including: 
(1) recommendations for how a program could be implemented through the Office of Surface Mining Reclamation and Enforcement to revegetate reclaimed mined sites;
(2) identifications of reclaimed mine sites that would be suitable for inclusion in such a program, including sites on land that—
(A) is subject to title IV of the Surface Mining Control and Reclamation Act of 1977 (30 U.S.C. 1231 et seq.); and
(B) is not subject to that title;
(3) a description of any barriers to implementation of such a program, including whether the program would potentially interfere with the authorities contained in, or the implementation of, the Surface Mining Control and Reclamation Act of 1977 (30 U.S.C. 1201 et seq.), including the Abandoned Mine Reclamation Fund created by section 401 of that Act (30 U.S.C. 1231) and State reclamation programs under section 405 of that Act (30 U.S.C. 1235); and
(4) a description of the potential for job creation and workforce needs if such a program was implemented. </t>
  </si>
  <si>
    <t>GAO</t>
  </si>
  <si>
    <t>• for the Comptroller General of the United States to  conduct a study on the implementation of this title and the amendments made by this title, including whether this title and the amendments made by this title have— (A) effectively reduced wildfire risk, including the extent to which the wildfire hazard on Federal land has changed; and
(B) restored ecosystems on Federal and non-Federal land; and submit to Congress a report that describes the results of the study.</t>
  </si>
  <si>
    <t>• establishes a categorical exclusion for certain forest management activities from the requirements under the National Environmental Policy Act, for maintaining fuel breaks in forests and other wildlife vegetation</t>
  </si>
  <si>
    <t>• authorizes emergency actions on that National Forest System land to achieve reliefs from hazards threatening human health and safety or mitigation of threats to natural resources on  National Forest System land or adjacent land</t>
  </si>
  <si>
    <t>40909. CLARIFICATION OF AUTHORITY TO USE CORONAVIRUS FISCAL RECOVERY FUNDS TO MEET A NON-FEDERAL
MATCHING REQUIREMENT FOR AUTHORIZED BUREAU OF RECLAMATION WATER PROJECTS.</t>
  </si>
  <si>
    <t>• clarifies that Coronavirus Fiscal Recovery Funds may be used to satisfy non-Federal match requirements for Bureau of Reclamation projects. Effective upon passage.</t>
  </si>
  <si>
    <t>41003. MINERAL SECURITY PROJECTS</t>
  </si>
  <si>
    <t>NATIONAL GEOLOGICAL AND GEOPHYSICAL DATA PRESERVATION PROGRAM</t>
  </si>
  <si>
    <t>• (a) NATIONAL GEOLOGICAL AND GEOPHYSICAL DATA PRESERVATION PROGRAM (to carry out activities under section 351 of the Energy Policy Act of 2005):
(1) $8,668,000 for fiscal year 2022; and
(2) $5,000,000 for each of fiscal years 2023 through 2025.
(b) RARE EARTH MINERAL SECURITY ( to carry out activities under section 7001(a) of the Energy Act of 2020):
(1) $23,000,000 for fiscal year 2022;
(2) $24,200,000 for fiscal year 2023;
(3) $25,400,000 for fiscal year 2024;
(4) $26,600,000 for fiscal year 2025; and
(5) $27,800,000 for fiscal year 2026.
(c) CRITICAL MATERIAL INNOVATION, EFFICIENCY, AND ALTERNATIVES (to carry out activities under section 7002(g) of the Energy Act of 2020):
(1) $230,000,000 for fiscal year 2022;
(2) $100,000,000 for fiscal year 2023; and
(3) $135,000,000 for each of fiscal years 2024 and 2025.
(d) CRITICAL MATERIAL SUPPLY CHAIN RESEARCH FACILITY (to carry out activities under section 7002(h) of the Energy Act of 2020):
(1) $40,000,000 for fiscal year 2022; and
(2) $35,000,000 for fiscal year 2023.</t>
  </si>
  <si>
    <t>41004. carbon capture large-scale pilot projects</t>
  </si>
  <si>
    <t xml:space="preserve">(a) CARBON CAPTURE LARGE-SCALE PILOT PROJECTS (to carry out activities under section 962(b)(2)(B) of the Energy Policy Act of 2005):
(1) $387,000,000 for fiscal year 2022; (2) $200,000,000 for fiscal year 2023; (3) $200,000,000 for fiscal year 2024; and (4) $150,000,000 for fiscal year 2025. 
•Division J appropriates $937M
(b) CARBON CAPTURE DEMONSTRATION PROJECTS PROGRAM (to carry out activities under section 962(b)(2)(C) of the Energy Policy Act of 2005) (1) $937,000,000 for fiscal year 2022; (2) $500,000,000 for each of fiscal years 2023 and 2024; and  (3) $600,000,000 for fiscal year 2025.
•Division J appropriates $2.5B
</t>
  </si>
  <si>
    <t>41005. DIRECT AIR CAPTURE TECHNOLOGIES PRIZE COMPETITIONS</t>
  </si>
  <si>
    <t xml:space="preserve">• (a) to carry out activities under section 969D(e)(2)(A) of the Energy Policy Act of 2005 
$15M for fiscal year 2022.
• (b) to carry out activities under section 969D(e)(2)(B) of the Energy Policy Act of 2005 $100M for fiscal year 2022. </t>
  </si>
  <si>
    <t>41008. Industrial emission demonstration projects</t>
  </si>
  <si>
    <t>• to carry out activities under section 454(d)(3) of the Energy Independence and Security Act of 2007:
(1) $100M for each of fiscal years 2022 and 2023; and 
(2) $150M for each of fiscal years 2024 and 2025.</t>
  </si>
  <si>
    <t>Title XI—Wage Rate Requirements</t>
  </si>
  <si>
    <t>DOL</t>
  </si>
  <si>
    <t>Workforce</t>
  </si>
  <si>
    <t xml:space="preserve">• This section applies to all Division D- Energy titles. It puts forward wage rate requirements in accordance with the Davis-Bacon Act:
• All laborers and mechanics employed by contractors or subcontractors in the performance of construction, alteration, or repair work on a project assisted in whole or in part by funding made available under this division or an amendment made by this division shall be paid wages at rates not less than those prevailing on similar projects in the locality, as determined by the Secretary of Labor in accordance with subchapter IV of chapter 31 of title 40, United States Code (commonly referred to as the ‘‘Davis-Bacon Act’’).
(b) AUTHORITY.—With respect to the labor standards specified in subsection (a), the Secretary of Labor shall have the authority and functions set forth in Reorganization Plan Numbered 14 of 1950 (64 Stat. 1267; 5 U.S.C. App.) and section 3145 of title 40, United States Code. </t>
  </si>
  <si>
    <t>Energy and Natural Resources; Science, Space, and Technology</t>
  </si>
  <si>
    <t>Title XII—Miscellaneous</t>
  </si>
  <si>
    <t>41201. OFFICE OF CLEAN ENERGY DEMONSTRATIONS</t>
  </si>
  <si>
    <t>Office of Clean Energy Demonstrations</t>
  </si>
  <si>
    <t xml:space="preserve"> • establishes a new program at the DOE, the Office of Clean Energy Demonstrations, to conduct project management and oversight of covered projects, including by:
(1) conducting evaluations of proposals for covered projects before the selection of a covered project for funding;
(2) conducting independent oversight of the execution of a covered project after funding has been awarded for that covered project; and
(3) ensuring a balanced portfolio of investments in covered projects. </t>
  </si>
  <si>
    <t>50103. Source water petition program.</t>
  </si>
  <si>
    <t>• amends section 1454 of the Safe Drinking Water Act by: 
- clarifying sub-State county authorities on behalf of unincorporated areas</t>
  </si>
  <si>
    <t>50111. Indian reservation drinking water program.</t>
  </si>
  <si>
    <t>• amends Section 2001 of the America’s Water Infrastructure Act of 2018 by: 
- expanding eligible use of funds to water quality or sanitation or wastewater services 
- greatly expanding the program to fund 10 eligible projects per each of the five following regions: Upper Missouri River Basin; Upper Rio Grande Basin; Columbia River Basin; Lower Colorado River Basin; Arkansas-White-Red River Basin.
- increases requirement to serve a Federally recognized Tribe to at least 2 projects
- increases authorization for FY22 from $20M to $50M, and extends $50M per year through FY26</t>
  </si>
  <si>
    <t>The Federal share of the cost of a project carried out under this section shall be 100 percent.</t>
  </si>
  <si>
    <t>In selecting projects to carry out under this section, the Administrator shall give priority to projects that:
(1) respond to emergency situations occurring due to or resulting in a lack of access to clean drinking water that threatens the health of Tribal populations; 
(2) would serve a Tribal population that would qualify as a disadvantaged community based on the affordability criteria established by the applicable State under section 1452(d)(3) of the Safe Drinking Water Act; or 
(3) would address the underlying factors contributing to— 
(A) an enforcement action commenced pursuant to the Safe Drinking Water Act against the applicable public water system as of the date of enactment of this subparagraph; or 
(B) an enforcement action commenced pursuant to the Federal Water Pollution Control Act against the applicable treatment works as of the date of enactment of this subparagraph.</t>
  </si>
  <si>
    <t>50114. State response to contaminants.</t>
  </si>
  <si>
    <t>• amends Section 1459A(j)(1) of the Safe Drinking Water Act by:
- redefining eligible communities for assistance through State Response to Contaminants from "underserved" to any community that fits the definition of the following:
(i) to be a disadvantaged community; or
(ii) to be a community that may become a disadvantaged community as a result of carrying out a project or activity under subsection (b); or
(B) with a population of less than 10,000 individuals that the Administrator determines does not have the capacity to incur debt sufficient to finance a project or activity under subsection (b)</t>
  </si>
  <si>
    <t>50115. Annual study on boil water advisories.</t>
  </si>
  <si>
    <t>• commissions the Administrator to conduct a study on the prevalence of boil water advisories issued in the United States</t>
  </si>
  <si>
    <t>50209. Connection to publicly owned treatment works.</t>
  </si>
  <si>
    <t xml:space="preserve">• amends Title II of the Federal Water Pollution Control Act by:
- establishing a new  competitive grant program with the purpose of improving general welfare, under which the Administrator awards grants to eligible entities to provide funds
to assist qualified individuals in covering the costs incurred by the qualified individual in connecting the household of the qualified individual to a publicly owned treatment works. </t>
  </si>
  <si>
    <t>publicly owned treatment works</t>
  </si>
  <si>
    <t>(A) an owner or operator of a publicly owned treatment works that assists or is seeking to assist low-income or moderate-income individuals with connecting the household of the individual to the publicly owned treatment works; or 
(B) a nonprofit entity that assists low-income or moderate-income individuals with the costs associated with connecting the household of the individual to a publicly owned treatment works.
• 15% set aside for eligible entities that  serve fewer than 3,300 people
• In selecting recipients of grants under the program, the Administrator shall use the following criteria: 
(1) Whether the eligible entity seeking a grant provides services to, or works directly with, qualified individuals. 
(2) Whether the eligible entity seeking a grant:
(A) has an existing program to assist in covering the costs incurred in connecting a household to a publicly owned treatment works; or 
(B) seeks to create a program described in subparagraph (A).</t>
  </si>
  <si>
    <t xml:space="preserve">• An eligible entity seeking a grant under the program shall submit to the Administrator an application at such time, in such manner, and containing such information as the Administrator may by regulation require.
• Before providing funds to a qualified individual for the costs described in subsection (b), an eligible entity shall ensure that—
(A) the qualified individual has connected to the publicly owned treatment works voluntarily; and
(B) if the eligible entity is not the owner or operator of the publicly owned treatment works to which the qualified individual has connected, the publicly owned treatment. works to which the qualified individual has connected has agreed to the connection. </t>
  </si>
  <si>
    <t>50216. Small and disadvantaged community analysis.</t>
  </si>
  <si>
    <t xml:space="preserve">EJ </t>
  </si>
  <si>
    <t>• Tasks the Administrator, within 2 years of enactment and using environmental justice data of the EPA, including data from the environmental justice mapping and screening tool of the EPA, to carry out an analysis under which the Administrator shall assess the programs under title VI of the Federal Water Pollution Control Act (33 U.S.C. 1381 et seq.) and section 1452 of the Safe Drinking Water Act (42 U.S.C. 300j–12) to identify historical distributions of funds to small and disadvantaged communities and new opportunities and methods to improve on the distribution of funds under those programs to low-income communities, rural communities, minority communities, and communities of indigenous peoples, in accordance with Executive Order 12898 (42 U.S.C. 4321 note; 60 Fed. Reg. 6381; relating to Federal actions to address environmental justice in minority populations and low-income populations).</t>
  </si>
  <si>
    <t>EPW, Budget</t>
  </si>
  <si>
    <t>50221. Water Resources Research Act amendments.</t>
  </si>
  <si>
    <t>• amends Section 104 of the Water Resources Research Act of 1984 by: 
- clarifying research activities related to water resources in (b)(1)
- changing the match requirement from 2-1 non-federal to federal dollars, to 1-1
- amends a commission of a report to Congress, by Dec. 31, regarding the compliance of each funding recipient with this subsection for the immediately preceding fiscal year
- amends the Evaluation of the Water Resources Research Program to once every 5 years
- extends authorization of appropriations of $12M annually for FY22-25 
- extends authorization of additional appropriations for interstate water problems of $3M annually for FY22-25</t>
  </si>
  <si>
    <t>From the sums appropriated pursuant to subsection (f), the Secretary shall make grants to each institute to be matched on a basis of no less than 1 non-Federal dollar for every 1 Federal dollar.</t>
  </si>
  <si>
    <t>50222. Enhanced aquifer use and recharge.</t>
  </si>
  <si>
    <t>Title II - Wildfire Mitigation</t>
  </si>
  <si>
    <t>70203; 70204</t>
  </si>
  <si>
    <t xml:space="preserve">Not later than 30 days after the date of enactment of this Act, the Secretaries shall jointly establish a commission to study and make recommendations to improve Federal policies relating to—
(1) the prevention, mitigation, suppression, and management of wildland fires in the United States; and
(2) the rehabilitation of land in the United States devastated by wildland fires. </t>
  </si>
  <si>
    <t>Commission</t>
  </si>
  <si>
    <t>Title III - Reforestation</t>
  </si>
  <si>
    <t>70302; 70303</t>
  </si>
  <si>
    <t xml:space="preserve">Requires reforestation on National Forest System land after wildfires and other unplanned events; requires a report one year after enactment and then annually of:
(1) an evaluation of the degree to which the Secretary
has achieved compliance with the requirements contained in
the amendments made by this title, including, as a result
of those amendments, the number of acres covered by reforestation projects that follow unplanned events (such as wildfires); 
(2) the total number of acres of land reforested under
each authority of the Secretary under which reforestation
projects have been carried out;
(3) the number of acres of National Forest System land
affected by, and the substance of reforestation needs on that
land resulting from, unplanned events; and
(4) the number of acres in need of reforestation under
subsection (e)(1) of section 3 of the Forest and Rangeland
Renewable Resources Planning Act of 1974 (16 U.S.C. 1601). </t>
  </si>
  <si>
    <t>Title IV—Bond Provisions</t>
  </si>
  <si>
    <t>80402. Carbon Dioxide Capture Facilities</t>
  </si>
  <si>
    <t>• amends Section 142(a) of the Internal Revenue Code of 1986 by including qualified carbon dioxide capture facilities (those that capture 65% or greater) as eligible recipients of net proceeds of exempt facility bonds. Those facilities who capture less than 65% may not receive tax-exempt bonds which cover a percentage of financing greater than the percentage of capture
• defines these facilities as: 
(A) the eligible components of an industrial carbon dioxide facility, and
(B) a direct air capture facility (as defined in section 45Q(e)(1)).</t>
  </si>
  <si>
    <t>80403. Increase in National Limitation Amount for Qualified Highway or Surface Freight Transportation Facilities</t>
  </si>
  <si>
    <t>effective after date of enactment</t>
  </si>
  <si>
    <t xml:space="preserve">• amends —Section 142(m)(2)(A) of the Internal Revenue Code of 1986 by doubling the National Limitation on Amount of Tax-Exempt Financing for Facilities, from $15M to $30M  </t>
  </si>
  <si>
    <t>Department of Agriculture: Farm Production and Conservation Programs</t>
  </si>
  <si>
    <t>Watershed and Flood Prevention Operations</t>
  </si>
  <si>
    <t>Watershed Rehabilitation Program</t>
  </si>
  <si>
    <t>Emergency Watershed Protection Program</t>
  </si>
  <si>
    <t>REGULATORY PROGRAM</t>
  </si>
  <si>
    <t>• for "Regulatory Program"</t>
  </si>
  <si>
    <t>EXPENSES</t>
  </si>
  <si>
    <t>• for ‘‘Expenses’’</t>
  </si>
  <si>
    <t>IV - Financial services and general government</t>
  </si>
  <si>
    <t>Federal permitting improvement steering council</t>
  </si>
  <si>
    <t>Environmental Review Improvement Fund - $650K per year</t>
  </si>
  <si>
    <t>Disaster Relief Fund</t>
  </si>
  <si>
    <t>• Robert T. Stafford Disaster Relief and Emergency Assistance Act (42 U.S.C. 5133)
• $200M per year FY22-26</t>
  </si>
  <si>
    <t>Sec. 705. Disaster Grant Closeout Procedures (42 U.S.C. 5205)  - $100M a year FY22-26</t>
  </si>
  <si>
    <t>National Flood Insurance Fund</t>
  </si>
  <si>
    <t>National Flood Insurance Fund -  section 1366 of the National Flood Insurance Act of 1968 (42 U.S.C. 4104c),
• $700M per year</t>
  </si>
  <si>
    <t>•  $100,000,000 for all costs for carrying out section 6605 of the Pollution Prevention Act ($20M a year)</t>
  </si>
  <si>
    <t xml:space="preserve"> • $275,000,000 for grants under section 302(a) of the Save Our Seas 2.0 Act  ($55M a year)</t>
  </si>
  <si>
    <t xml:space="preserve">National Electric Vehicle Formula Program </t>
  </si>
  <si>
    <t>•  $5,000,000,000 (full Division J appropriation - not all for the formula grant) to carry out a National Electric Vehicle Formula Program which provides funding to States to strategically deploy electric vehicle charging infrastructure and to establish an interconnected network to facilitate data collection, access, and reliability
• each State receives an amount equal to the proportion that the total base apportionment or allocation under subsection (c) of section 104 or under section 165 of title 23, USC
• if a State fails to submit the plan, the Secretary may withhold or withdraw, as applicable, funds made available under this paragraph in this Act for the fiscal year from the State and award such funds on a competitive basis to local jurisdictions within the State for use on projects that meet the eligibility requirements under this paragraph in this Act:
• no later than 90 days after the date of enactment of this Act, the Secretary of Transportation, in coordination with the Secretary of Energy, shall develop guidance for States and localities to strategically deploy electric vehicle charging infrastructure, consistent with this paragraph in this Act
• if a State determines, and the Secretary certifies, that the designated alternative fuel corridors in the States are fully built out, then the State may use funds... for EVSE on any public road or in other publicly accessible locations, such as parking facilities at public buildings, public schools, and public parks, or in publicly accessible parking facilities owned or managed by a private entity.
• funds ... may be used for: (1) the acquisition or installation of electric vehicle charging infrastructure; (2) operating assistance for costs allocable to operating and maintaining electric vehicle charging infrastructure acquired or installed under this paragraph in this Act, for a period
not to exceed five years; (3) the acquisition or installation of traffic control devices located in the right-of-way to provide directional information to electric vehicle charging infrastructure acquired, installed, or operated under this paragraph in this Act; (4) on-premises signs to provide information about electric vehicle charging infrastructure acquired, installed, or operated under this paragraph in this Act; (5) development phase activities relating to the acquisition or installation of electric vehicle charging infrastructure, as determined by the Secretary; or (6) mapping and analysis activities to evaluate, in an area in the United States designated by the eligible entity, the locations of current and future electric vehicle owners, to forecast commuting and travel patterns of electric
vehicles and the quantity of electricity required to serve electric vehicle charging stations, to estimate the concentrations of electric vehicle charging stations to meet the needs of current
and future electric vehicle drivers, to estimate future needs for electric vehicle charging stations to support the adoption and use of electric vehicles in shared mobility solutions, such as micro-transit and transportation network companies, and to develop an analytical model to allow a city, county, or other political subdivision of a State or a local agency to compare and evaluate different adoption and use scenarios for electric vehicles and electric vehicle charging stations
• That not later than 180 days...the Secretary of Transportation, in coordination with the Secretary of Energy and in consultation with relevant stakeholders, shall, as appropriate, develop minimum standards and requirements..."
• not later than 1 year after the date of enactment of this Act, the Secretary shall designate national electric vehicle charging corridors that identify the near- and long-term need for, and the location of, electric vehicle charging infrastructure to support freight and goods movement at strategic locations along major national highways
• Secretary shall set aside...10 percent for grants to States or localities that require additional assistance to strategically deploy electric vehicle charging infrastructure</t>
  </si>
  <si>
    <t>OT, DOE</t>
  </si>
  <si>
    <t>Transportation, Power</t>
  </si>
  <si>
    <t xml:space="preserve"> Joint Office of Energy and Transportation</t>
  </si>
  <si>
    <t>• $300,000,000 of the $5B from the National Electric Vehicle Formula Program may be transferred to the new Joint Office of Energy and Transportation
• Joint Office of Energy and Transportation to study, plan, coordinate, and implement issues of
joint concern between the two agencies (1) technical assistance for ZEVs; (2) data sharing; (3) regional and national EVSE performance to support grants for community resilience and electric vehicle integration; (4)  development and deployment of training and certification programs; (5)  establishment and implementation of a program to promote renewable energy generation, storage, and grid integration, including microgrids, in transportation rights-of-way; (6) studying, planning, and funding for high-voltage distributed current infrastructure in the rights-of-way of the Interstate System and for constructing high-voltage and or medium-voltage transmission pilots in the rights-of-way of the Interstate System; (7)research, strategies, and actions...to reduce emissions and mitigate the impacts of climate change; (8) development of a streamlined utility accommodations policy for high-voltage and medium-voltage transmission in the transportation right-of-way; and (9) other issues...
• Joint Office of Energy and Transportation shall establish and maintain a public database...of EVSE, potential EVSE, etc.</t>
  </si>
  <si>
    <t>Grants to Projects Bridge: IIJA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</si>
</sst>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_([$$-409]* #,##0_);_([$$-409]* \(#,##0\);_([$$-409]* &quot;-&quot;??_);_(@_)"/>
    <numFmt numFmtId="165" formatCode="yyyy\-mm\-dd;@"/>
    <numFmt numFmtId="166" formatCode="&quot;$&quot;#,##0.00"/>
    <numFmt numFmtId="167" formatCode="_([$$-409]* #,##0.00_);_([$$-409]* \(#,##0.00\);_([$$-409]* &quot;-&quot;??_);_(@_)"/>
  </numFmts>
  <fonts count="19" x14ac:knownFonts="1">
    <font>
      <sz val="11"/>
      <color theme="1"/>
      <name val="Arial"/>
    </font>
    <font>
      <u/>
      <sz val="11"/>
      <color theme="10"/>
      <name val="Arial"/>
      <family val="2"/>
    </font>
    <font>
      <sz val="12"/>
      <color theme="1"/>
      <name val="Arial Narrow"/>
      <family val="2"/>
    </font>
    <font>
      <sz val="11"/>
      <color theme="1"/>
      <name val="Arial Narrow"/>
      <family val="2"/>
    </font>
    <font>
      <sz val="12"/>
      <color theme="1"/>
      <name val="Arial"/>
      <family val="2"/>
    </font>
    <font>
      <u/>
      <sz val="12"/>
      <color theme="10"/>
      <name val="Arial Narrow"/>
      <family val="2"/>
    </font>
    <font>
      <u/>
      <sz val="11"/>
      <color theme="10"/>
      <name val="Arial Narrow"/>
      <family val="2"/>
    </font>
    <font>
      <u/>
      <sz val="12"/>
      <color rgb="FF1155CC"/>
      <name val="Arial Narrow"/>
      <family val="2"/>
    </font>
    <font>
      <u/>
      <sz val="12"/>
      <color rgb="FF0000FF"/>
      <name val="Arial Narrow"/>
      <family val="2"/>
    </font>
    <font>
      <b/>
      <sz val="12"/>
      <color theme="1"/>
      <name val="Arial Narrow"/>
      <family val="2"/>
    </font>
    <font>
      <sz val="12"/>
      <color rgb="FFFF0000"/>
      <name val="Arial Narrow"/>
      <family val="2"/>
    </font>
    <font>
      <sz val="12"/>
      <name val="Arial Narrow"/>
      <family val="2"/>
    </font>
    <font>
      <sz val="12"/>
      <color rgb="FF000000"/>
      <name val="Arial Narrow"/>
      <family val="2"/>
    </font>
    <font>
      <sz val="11"/>
      <color theme="1"/>
      <name val="Arial"/>
      <family val="2"/>
    </font>
    <font>
      <b/>
      <sz val="16"/>
      <color theme="1"/>
      <name val="Arial"/>
      <family val="2"/>
    </font>
    <font>
      <sz val="16"/>
      <color theme="1"/>
      <name val="Arial"/>
      <family val="2"/>
    </font>
    <font>
      <b/>
      <sz val="11"/>
      <color theme="1"/>
      <name val="Arial Narrow"/>
      <family val="2"/>
    </font>
    <font>
      <sz val="10"/>
      <color theme="1"/>
      <name val="Arial Narrow"/>
      <family val="2"/>
    </font>
    <font>
      <b/>
      <sz val="12"/>
      <color rgb="FF000000"/>
      <name val="Arial Narrow"/>
      <family val="2"/>
    </font>
  </fonts>
  <fills count="12">
    <fill>
      <patternFill patternType="none"/>
    </fill>
    <fill>
      <patternFill patternType="gray125"/>
    </fill>
    <fill>
      <patternFill patternType="solid">
        <fgColor theme="0"/>
        <bgColor rgb="FFE7E6E6"/>
      </patternFill>
    </fill>
    <fill>
      <patternFill patternType="solid">
        <fgColor rgb="FF71A5AB"/>
        <bgColor indexed="64"/>
      </patternFill>
    </fill>
    <fill>
      <patternFill patternType="solid">
        <fgColor rgb="FF9FC5C9"/>
        <bgColor indexed="64"/>
      </patternFill>
    </fill>
    <fill>
      <patternFill patternType="solid">
        <fgColor rgb="FF3E6468"/>
        <bgColor indexed="64"/>
      </patternFill>
    </fill>
    <fill>
      <patternFill patternType="solid">
        <fgColor rgb="FFC5D1C5"/>
        <bgColor indexed="64"/>
      </patternFill>
    </fill>
    <fill>
      <patternFill patternType="solid">
        <fgColor rgb="FFC5D1C5"/>
        <bgColor rgb="FFE2EFD9"/>
      </patternFill>
    </fill>
    <fill>
      <patternFill patternType="solid">
        <fgColor theme="0"/>
        <bgColor indexed="64"/>
      </patternFill>
    </fill>
    <fill>
      <patternFill patternType="solid">
        <fgColor rgb="FFDDEBF7"/>
        <bgColor indexed="64"/>
      </patternFill>
    </fill>
    <fill>
      <patternFill patternType="solid">
        <fgColor rgb="FFDDEBF7"/>
        <bgColor rgb="FF000000"/>
      </patternFill>
    </fill>
    <fill>
      <patternFill patternType="solid">
        <fgColor rgb="FFFFFFFF"/>
        <bgColor indexed="64"/>
      </patternFill>
    </fill>
  </fills>
  <borders count="21">
    <border>
      <left/>
      <right/>
      <top/>
      <bottom/>
      <diagonal/>
    </border>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indexed="64"/>
      </right>
      <top style="thin">
        <color indexed="64"/>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medium">
        <color rgb="FF000000"/>
      </bottom>
      <diagonal/>
    </border>
    <border>
      <left/>
      <right style="double">
        <color rgb="FF000000"/>
      </right>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double">
        <color rgb="FF000000"/>
      </right>
      <top/>
      <bottom/>
      <diagonal/>
    </border>
    <border>
      <left/>
      <right style="thin">
        <color rgb="FF000000"/>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cellStyleXfs>
  <cellXfs count="100">
    <xf numFmtId="0" fontId="0" fillId="0" borderId="0" xfId="0" applyFont="1" applyAlignment="1"/>
    <xf numFmtId="0" fontId="3" fillId="0" borderId="0" xfId="0" applyFont="1" applyAlignment="1">
      <alignment vertical="center" wrapText="1"/>
    </xf>
    <xf numFmtId="0" fontId="4" fillId="4" borderId="2" xfId="0" applyFont="1" applyFill="1" applyBorder="1" applyAlignment="1">
      <alignment vertical="center" wrapText="1"/>
    </xf>
    <xf numFmtId="0" fontId="4" fillId="4" borderId="2" xfId="0" applyFont="1" applyFill="1" applyBorder="1" applyAlignment="1">
      <alignment horizontal="left" vertical="center" wrapText="1"/>
    </xf>
    <xf numFmtId="0" fontId="9" fillId="7"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2" fillId="0" borderId="3" xfId="0" applyFont="1" applyBorder="1" applyAlignment="1">
      <alignment horizontal="left" vertical="center" wrapText="1"/>
    </xf>
    <xf numFmtId="0" fontId="5" fillId="2" borderId="3" xfId="1"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0" borderId="3" xfId="1" applyFont="1" applyBorder="1" applyAlignment="1">
      <alignment horizontal="left" vertical="center" wrapText="1"/>
    </xf>
    <xf numFmtId="0" fontId="5" fillId="0" borderId="3" xfId="1" applyFont="1" applyFill="1" applyBorder="1" applyAlignment="1">
      <alignment horizontal="left" vertical="center" wrapText="1"/>
    </xf>
    <xf numFmtId="0" fontId="5" fillId="0" borderId="3" xfId="1" applyFont="1" applyBorder="1" applyAlignment="1">
      <alignment horizontal="left" vertical="center" wrapText="1"/>
    </xf>
    <xf numFmtId="0" fontId="12" fillId="0" borderId="3" xfId="0" applyFont="1" applyBorder="1" applyAlignment="1">
      <alignment horizontal="left" vertical="center" wrapText="1"/>
    </xf>
    <xf numFmtId="0" fontId="2" fillId="0" borderId="6" xfId="0" applyFont="1" applyBorder="1" applyAlignment="1">
      <alignment horizontal="left" vertical="center" wrapText="1"/>
    </xf>
    <xf numFmtId="0" fontId="5" fillId="0" borderId="6" xfId="1" applyFont="1" applyBorder="1" applyAlignment="1">
      <alignment horizontal="left" vertical="center" wrapText="1"/>
    </xf>
    <xf numFmtId="15" fontId="2" fillId="0" borderId="6" xfId="0" applyNumberFormat="1" applyFont="1" applyBorder="1" applyAlignment="1">
      <alignment horizontal="left" vertical="center" wrapText="1"/>
    </xf>
    <xf numFmtId="0" fontId="7" fillId="0" borderId="6" xfId="0" applyFont="1" applyBorder="1" applyAlignment="1">
      <alignment horizontal="left" vertical="center" wrapText="1"/>
    </xf>
    <xf numFmtId="0" fontId="5" fillId="0" borderId="6" xfId="1" applyFont="1" applyFill="1" applyBorder="1" applyAlignment="1">
      <alignment horizontal="left" vertical="center" wrapText="1"/>
    </xf>
    <xf numFmtId="16" fontId="2" fillId="0" borderId="6" xfId="0" applyNumberFormat="1" applyFont="1" applyBorder="1" applyAlignment="1">
      <alignment horizontal="left" vertical="center" wrapText="1"/>
    </xf>
    <xf numFmtId="3" fontId="2" fillId="0" borderId="6" xfId="0" applyNumberFormat="1" applyFont="1" applyBorder="1" applyAlignment="1">
      <alignment horizontal="left" vertical="center" wrapText="1"/>
    </xf>
    <xf numFmtId="3" fontId="5" fillId="0" borderId="6" xfId="1" applyNumberFormat="1" applyFont="1" applyBorder="1" applyAlignment="1">
      <alignment horizontal="left" vertical="center" wrapText="1"/>
    </xf>
    <xf numFmtId="0" fontId="12" fillId="0" borderId="6" xfId="0" applyFont="1" applyBorder="1" applyAlignment="1">
      <alignment horizontal="left" vertical="center" wrapText="1"/>
    </xf>
    <xf numFmtId="0" fontId="10" fillId="0" borderId="6" xfId="1" applyFont="1" applyBorder="1" applyAlignment="1">
      <alignment horizontal="left" vertical="center" wrapText="1"/>
    </xf>
    <xf numFmtId="0" fontId="8" fillId="0" borderId="6" xfId="0" applyFont="1" applyBorder="1" applyAlignment="1">
      <alignment horizontal="left" vertical="center" wrapText="1"/>
    </xf>
    <xf numFmtId="0" fontId="2" fillId="0" borderId="6" xfId="0" applyFont="1" applyFill="1" applyBorder="1" applyAlignment="1">
      <alignment horizontal="left" vertical="center" wrapText="1"/>
    </xf>
    <xf numFmtId="0" fontId="11" fillId="0" borderId="6" xfId="1" applyFont="1" applyBorder="1" applyAlignment="1">
      <alignment horizontal="left" vertical="center" wrapText="1"/>
    </xf>
    <xf numFmtId="14" fontId="2" fillId="0" borderId="6" xfId="0" applyNumberFormat="1" applyFont="1" applyBorder="1" applyAlignment="1">
      <alignment horizontal="left" vertical="center" wrapText="1"/>
    </xf>
    <xf numFmtId="17" fontId="2" fillId="0" borderId="6" xfId="0" applyNumberFormat="1" applyFont="1" applyBorder="1" applyAlignment="1">
      <alignment horizontal="left" vertical="center" wrapText="1"/>
    </xf>
    <xf numFmtId="0" fontId="9" fillId="7" borderId="7" xfId="0" applyFont="1" applyFill="1" applyBorder="1" applyAlignment="1">
      <alignment horizontal="center" vertical="center"/>
    </xf>
    <xf numFmtId="0" fontId="9" fillId="6" borderId="7" xfId="0" applyFont="1" applyFill="1" applyBorder="1" applyAlignment="1">
      <alignment horizontal="center" vertical="center"/>
    </xf>
    <xf numFmtId="0" fontId="3" fillId="0" borderId="0" xfId="0" applyFont="1" applyFill="1" applyAlignment="1">
      <alignment vertical="center" wrapText="1"/>
    </xf>
    <xf numFmtId="0" fontId="1" fillId="0" borderId="6" xfId="1" applyBorder="1" applyAlignment="1">
      <alignment horizontal="left" vertical="center" wrapText="1"/>
    </xf>
    <xf numFmtId="0" fontId="0" fillId="0" borderId="0" xfId="0" applyFont="1" applyAlignment="1">
      <alignment vertical="center"/>
    </xf>
    <xf numFmtId="0" fontId="15" fillId="4" borderId="2" xfId="0" applyFont="1" applyFill="1" applyBorder="1" applyAlignment="1">
      <alignment horizontal="left" vertical="center"/>
    </xf>
    <xf numFmtId="0" fontId="15" fillId="4" borderId="5" xfId="0" applyFont="1" applyFill="1" applyBorder="1" applyAlignment="1">
      <alignment horizontal="left" vertical="center"/>
    </xf>
    <xf numFmtId="0" fontId="9" fillId="0" borderId="1" xfId="0" applyFont="1" applyFill="1" applyBorder="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13" fillId="4" borderId="2" xfId="0" applyFont="1" applyFill="1" applyBorder="1" applyAlignment="1">
      <alignment vertical="center" wrapText="1"/>
    </xf>
    <xf numFmtId="0" fontId="4" fillId="4" borderId="5" xfId="0" applyFont="1" applyFill="1" applyBorder="1" applyAlignment="1">
      <alignment horizontal="left" vertical="center" wrapText="1"/>
    </xf>
    <xf numFmtId="0" fontId="2" fillId="0" borderId="0" xfId="0" applyFont="1" applyFill="1" applyAlignment="1">
      <alignment vertical="center" wrapText="1"/>
    </xf>
    <xf numFmtId="0" fontId="5" fillId="0" borderId="1" xfId="1" applyFont="1" applyFill="1" applyBorder="1" applyAlignment="1">
      <alignment horizontal="left" vertical="center" wrapText="1"/>
    </xf>
    <xf numFmtId="0" fontId="2" fillId="0" borderId="3" xfId="0" applyFont="1" applyBorder="1" applyAlignment="1">
      <alignment vertical="center" wrapText="1"/>
    </xf>
    <xf numFmtId="0" fontId="5" fillId="0" borderId="3" xfId="1" applyFont="1" applyBorder="1" applyAlignment="1">
      <alignment vertical="center" wrapText="1"/>
    </xf>
    <xf numFmtId="0" fontId="5" fillId="0" borderId="1" xfId="1" applyFont="1" applyFill="1" applyBorder="1" applyAlignment="1">
      <alignment vertical="center" wrapText="1"/>
    </xf>
    <xf numFmtId="0" fontId="5" fillId="0" borderId="3" xfId="1" applyFont="1" applyFill="1" applyBorder="1" applyAlignment="1">
      <alignment vertical="center" wrapText="1"/>
    </xf>
    <xf numFmtId="0" fontId="2" fillId="0" borderId="1" xfId="0" applyFont="1" applyFill="1" applyBorder="1" applyAlignment="1">
      <alignment vertical="center" wrapText="1"/>
    </xf>
    <xf numFmtId="0" fontId="3" fillId="8" borderId="10" xfId="0" applyFont="1" applyFill="1" applyBorder="1" applyAlignment="1">
      <alignment vertical="center" wrapText="1"/>
    </xf>
    <xf numFmtId="0" fontId="16" fillId="8" borderId="3" xfId="0" applyFont="1" applyFill="1" applyBorder="1" applyAlignment="1">
      <alignment vertical="center" wrapText="1"/>
    </xf>
    <xf numFmtId="0" fontId="9" fillId="8" borderId="11" xfId="0" applyFont="1" applyFill="1" applyBorder="1" applyAlignment="1">
      <alignment vertical="center" wrapText="1"/>
    </xf>
    <xf numFmtId="0" fontId="3" fillId="8" borderId="3" xfId="0" applyFont="1" applyFill="1" applyBorder="1" applyAlignment="1">
      <alignment vertical="center" wrapText="1"/>
    </xf>
    <xf numFmtId="0" fontId="17" fillId="8" borderId="3" xfId="0" applyFont="1" applyFill="1" applyBorder="1" applyAlignment="1">
      <alignment vertical="center" wrapText="1"/>
    </xf>
    <xf numFmtId="0" fontId="3" fillId="0" borderId="12" xfId="0" applyFont="1" applyBorder="1" applyAlignment="1">
      <alignment vertical="center" wrapText="1"/>
    </xf>
    <xf numFmtId="0" fontId="1" fillId="4" borderId="4" xfId="1" applyFill="1" applyBorder="1" applyAlignment="1">
      <alignment horizontal="center" vertical="center" wrapText="1"/>
    </xf>
    <xf numFmtId="0" fontId="1" fillId="4" borderId="2" xfId="1" applyFill="1" applyBorder="1" applyAlignment="1">
      <alignment horizontal="center" vertical="center" wrapText="1"/>
    </xf>
    <xf numFmtId="0" fontId="1" fillId="4" borderId="5" xfId="1" applyFill="1" applyBorder="1" applyAlignment="1">
      <alignment horizontal="center" vertical="center" wrapText="1"/>
    </xf>
    <xf numFmtId="0" fontId="3" fillId="0" borderId="0" xfId="0" applyFont="1" applyAlignment="1">
      <alignment horizontal="left" vertical="center" wrapText="1"/>
    </xf>
    <xf numFmtId="0" fontId="14" fillId="3" borderId="4" xfId="0" applyFont="1" applyFill="1" applyBorder="1" applyAlignment="1">
      <alignment horizontal="left" vertical="center"/>
    </xf>
    <xf numFmtId="0" fontId="14" fillId="3" borderId="2" xfId="0" applyFont="1" applyFill="1" applyBorder="1" applyAlignment="1">
      <alignment horizontal="left" vertical="center"/>
    </xf>
    <xf numFmtId="0" fontId="9" fillId="5" borderId="4"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5" xfId="0" applyFont="1" applyFill="1" applyBorder="1" applyAlignment="1">
      <alignment horizontal="center" vertical="center"/>
    </xf>
    <xf numFmtId="0" fontId="14" fillId="3" borderId="4"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8" fillId="9" borderId="13" xfId="0" applyFont="1" applyFill="1" applyBorder="1" applyAlignment="1">
      <alignment textRotation="90"/>
    </xf>
    <xf numFmtId="0" fontId="18" fillId="9" borderId="14" xfId="0" applyFont="1" applyFill="1" applyBorder="1" applyAlignment="1">
      <alignment textRotation="90"/>
    </xf>
    <xf numFmtId="0" fontId="18" fillId="10" borderId="15" xfId="0" applyFont="1" applyFill="1" applyBorder="1"/>
    <xf numFmtId="0" fontId="18" fillId="10" borderId="15" xfId="0" applyFont="1" applyFill="1" applyBorder="1" applyAlignment="1">
      <alignment horizontal="center"/>
    </xf>
    <xf numFmtId="164" fontId="18" fillId="10" borderId="15" xfId="0" applyNumberFormat="1" applyFont="1" applyFill="1" applyBorder="1"/>
    <xf numFmtId="165" fontId="18" fillId="10" borderId="15" xfId="0" applyNumberFormat="1" applyFont="1" applyFill="1" applyBorder="1"/>
    <xf numFmtId="0" fontId="18" fillId="10" borderId="15" xfId="0" applyFont="1" applyFill="1" applyBorder="1" applyAlignment="1">
      <alignment wrapText="1"/>
    </xf>
    <xf numFmtId="0" fontId="18" fillId="10" borderId="16" xfId="0" applyFont="1" applyFill="1" applyBorder="1" applyAlignment="1">
      <alignment wrapText="1"/>
    </xf>
    <xf numFmtId="0" fontId="12" fillId="0" borderId="0" xfId="0" applyFont="1"/>
    <xf numFmtId="0" fontId="12" fillId="0" borderId="17" xfId="0" applyFont="1" applyBorder="1"/>
    <xf numFmtId="164" fontId="12" fillId="0" borderId="0" xfId="0" applyNumberFormat="1" applyFont="1"/>
    <xf numFmtId="165" fontId="12" fillId="0" borderId="0" xfId="0" applyNumberFormat="1" applyFont="1"/>
    <xf numFmtId="0" fontId="12" fillId="0" borderId="0" xfId="0" applyFont="1" applyAlignment="1">
      <alignment wrapText="1"/>
    </xf>
    <xf numFmtId="0" fontId="12" fillId="0" borderId="18" xfId="0" applyFont="1" applyBorder="1" applyAlignment="1">
      <alignment wrapText="1"/>
    </xf>
    <xf numFmtId="9" fontId="12" fillId="0" borderId="0" xfId="0" applyNumberFormat="1" applyFont="1" applyAlignment="1">
      <alignment wrapText="1"/>
    </xf>
    <xf numFmtId="6" fontId="12" fillId="0" borderId="0" xfId="0" applyNumberFormat="1" applyFont="1"/>
    <xf numFmtId="14" fontId="12" fillId="0" borderId="0" xfId="0" applyNumberFormat="1" applyFont="1"/>
    <xf numFmtId="0" fontId="12" fillId="11" borderId="0" xfId="0" applyFont="1" applyFill="1"/>
    <xf numFmtId="0" fontId="12" fillId="11" borderId="17" xfId="0" applyFont="1" applyFill="1" applyBorder="1"/>
    <xf numFmtId="6" fontId="12" fillId="11" borderId="0" xfId="0" applyNumberFormat="1" applyFont="1" applyFill="1"/>
    <xf numFmtId="165" fontId="12" fillId="11" borderId="0" xfId="0" applyNumberFormat="1" applyFont="1" applyFill="1"/>
    <xf numFmtId="0" fontId="12" fillId="11" borderId="0" xfId="0" applyFont="1" applyFill="1" applyAlignment="1">
      <alignment wrapText="1"/>
    </xf>
    <xf numFmtId="0" fontId="12" fillId="11" borderId="18" xfId="0" applyFont="1" applyFill="1" applyBorder="1" applyAlignment="1">
      <alignment wrapText="1"/>
    </xf>
    <xf numFmtId="166" fontId="12" fillId="0" borderId="0" xfId="0" applyNumberFormat="1" applyFont="1"/>
    <xf numFmtId="164" fontId="12" fillId="0" borderId="0" xfId="0" applyNumberFormat="1" applyFont="1" applyAlignment="1">
      <alignment wrapText="1"/>
    </xf>
    <xf numFmtId="3" fontId="12" fillId="0" borderId="0" xfId="0" applyNumberFormat="1" applyFont="1" applyAlignment="1">
      <alignment wrapText="1"/>
    </xf>
    <xf numFmtId="167" fontId="12" fillId="0" borderId="0" xfId="0" applyNumberFormat="1" applyFont="1"/>
    <xf numFmtId="6" fontId="12" fillId="0" borderId="0" xfId="0" applyNumberFormat="1" applyFont="1" applyAlignment="1">
      <alignment wrapText="1"/>
    </xf>
    <xf numFmtId="0" fontId="2" fillId="0" borderId="0" xfId="0" applyFont="1" applyAlignment="1"/>
    <xf numFmtId="0" fontId="14" fillId="3" borderId="19" xfId="0" applyFont="1" applyFill="1" applyBorder="1" applyAlignment="1">
      <alignment vertical="center" wrapText="1"/>
    </xf>
    <xf numFmtId="0" fontId="14" fillId="3" borderId="20" xfId="0" applyFont="1" applyFill="1" applyBorder="1" applyAlignment="1">
      <alignment vertical="center" wrapText="1"/>
    </xf>
    <xf numFmtId="0" fontId="14" fillId="3" borderId="8"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C5D1C5"/>
      <color rgb="FF3E6468"/>
      <color rgb="FF71A5AB"/>
      <color rgb="FF9FC5C9"/>
      <color rgb="FFEADADE"/>
      <color rgb="FFDCA0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newbelgium.com/company/mission/giving-back/" TargetMode="External"/><Relationship Id="rId117" Type="http://schemas.openxmlformats.org/officeDocument/2006/relationships/hyperlink" Target="https://bikeandbuild.org/application/" TargetMode="External"/><Relationship Id="rId21" Type="http://schemas.openxmlformats.org/officeDocument/2006/relationships/hyperlink" Target="https://voicesforhealthykids.org/campaign-resources/grants" TargetMode="External"/><Relationship Id="rId42" Type="http://schemas.openxmlformats.org/officeDocument/2006/relationships/hyperlink" Target="https://cliffamilyfoundation.org/about-us" TargetMode="External"/><Relationship Id="rId47" Type="http://schemas.openxmlformats.org/officeDocument/2006/relationships/hyperlink" Target="https://foundation.homedepot.com/s_Login.jsp" TargetMode="External"/><Relationship Id="rId63" Type="http://schemas.openxmlformats.org/officeDocument/2006/relationships/hyperlink" Target="https://www.saferoutespartnership.org/healthy-communities/saferoutestoparks/2021-application" TargetMode="External"/><Relationship Id="rId68" Type="http://schemas.openxmlformats.org/officeDocument/2006/relationships/hyperlink" Target="https://www.instrumentl.com/grants/kaiser-permanente-hawaii-region-community-grants-program" TargetMode="External"/><Relationship Id="rId84" Type="http://schemas.openxmlformats.org/officeDocument/2006/relationships/hyperlink" Target="https://voicesforhealthykids.org/campaign-resources/grants" TargetMode="External"/><Relationship Id="rId89" Type="http://schemas.openxmlformats.org/officeDocument/2006/relationships/hyperlink" Target="https://www.360adventurecollective.org/360-adventure-collective-grant-program" TargetMode="External"/><Relationship Id="rId112" Type="http://schemas.openxmlformats.org/officeDocument/2006/relationships/hyperlink" Target="http://forms.matchinggifts.com/Geico%20Nonprofit%20Form.pdf" TargetMode="External"/><Relationship Id="rId133" Type="http://schemas.openxmlformats.org/officeDocument/2006/relationships/hyperlink" Target="mailto:Christy.Duncan-Anderson@safeway.com" TargetMode="External"/><Relationship Id="rId138" Type="http://schemas.openxmlformats.org/officeDocument/2006/relationships/hyperlink" Target="mailto:nbbgives@newbelgium.com" TargetMode="External"/><Relationship Id="rId154" Type="http://schemas.openxmlformats.org/officeDocument/2006/relationships/hyperlink" Target="mailto:zoe@peopleforbikes.org" TargetMode="External"/><Relationship Id="rId159" Type="http://schemas.openxmlformats.org/officeDocument/2006/relationships/printerSettings" Target="../printerSettings/printerSettings1.bin"/><Relationship Id="rId16" Type="http://schemas.openxmlformats.org/officeDocument/2006/relationships/hyperlink" Target="https://www.3m.com/3M/en_US/gives-us/corporate-giving/grant-guidelines/" TargetMode="External"/><Relationship Id="rId107" Type="http://schemas.openxmlformats.org/officeDocument/2006/relationships/hyperlink" Target="https://aaafoundation.org/about/" TargetMode="External"/><Relationship Id="rId11" Type="http://schemas.openxmlformats.org/officeDocument/2006/relationships/hyperlink" Target="https://hidot.hawaii.gov/blog/2020/01/31/safe-routes-to-school-call-for-applications-3/" TargetMode="External"/><Relationship Id="rId32" Type="http://schemas.openxmlformats.org/officeDocument/2006/relationships/hyperlink" Target="https://www.kokuahawaiifoundation.org/" TargetMode="External"/><Relationship Id="rId37" Type="http://schemas.openxmlformats.org/officeDocument/2006/relationships/hyperlink" Target="https://vistaoutdoor.com/purpose-vision/" TargetMode="External"/><Relationship Id="rId53" Type="http://schemas.openxmlformats.org/officeDocument/2006/relationships/hyperlink" Target="https://about.kaiserpermanente.org/community-health/about-community-health/community-health-needs-assessments" TargetMode="External"/><Relationship Id="rId58" Type="http://schemas.openxmlformats.org/officeDocument/2006/relationships/hyperlink" Target="https://giving.hawaiipacifichealth.org/ways-to-give/corporate-foundation-giving/" TargetMode="External"/><Relationship Id="rId74" Type="http://schemas.openxmlformats.org/officeDocument/2006/relationships/hyperlink" Target="https://giving.hawaiipacifichealth.org/media/1323/hawaii-pacific-health-fundraising-guidelines-web-pdf.pdf" TargetMode="External"/><Relationship Id="rId79" Type="http://schemas.openxmlformats.org/officeDocument/2006/relationships/hyperlink" Target="https://www.3m.com/3M/en_US/gives-us/employee-and-retiree-matching-gifts/" TargetMode="External"/><Relationship Id="rId102" Type="http://schemas.openxmlformats.org/officeDocument/2006/relationships/hyperlink" Target="https://www.peopleforbikes.org/grant-application" TargetMode="External"/><Relationship Id="rId123" Type="http://schemas.openxmlformats.org/officeDocument/2006/relationships/hyperlink" Target="https://www.patchhawaii.org/blog/hawaii-visitor-industry-oahu-charity-walk-raises-5000-for-homeless-outreach/" TargetMode="External"/><Relationship Id="rId128" Type="http://schemas.openxmlformats.org/officeDocument/2006/relationships/hyperlink" Target="mailto:sgeary@billhealyfoundation.org" TargetMode="External"/><Relationship Id="rId144" Type="http://schemas.openxmlformats.org/officeDocument/2006/relationships/hyperlink" Target="mailto:THDF_CIG@homedepot.com" TargetMode="External"/><Relationship Id="rId149" Type="http://schemas.openxmlformats.org/officeDocument/2006/relationships/hyperlink" Target="mailto:grants@railstotrails.org" TargetMode="External"/><Relationship Id="rId5" Type="http://schemas.openxmlformats.org/officeDocument/2006/relationships/hyperlink" Target="https://www.aarp.org/livable-communities/community-challenge/" TargetMode="External"/><Relationship Id="rId90" Type="http://schemas.openxmlformats.org/officeDocument/2006/relationships/hyperlink" Target="https://www.americancanoe.org/page/LLBean_CFC_Grant" TargetMode="External"/><Relationship Id="rId95" Type="http://schemas.openxmlformats.org/officeDocument/2006/relationships/hyperlink" Target="https://www.boh.com/community-news/community-neighborisland-maui" TargetMode="External"/><Relationship Id="rId22" Type="http://schemas.openxmlformats.org/officeDocument/2006/relationships/hyperlink" Target="https://voicesforhealthykids.org/campaign-resources/grants" TargetMode="External"/><Relationship Id="rId27" Type="http://schemas.openxmlformats.org/officeDocument/2006/relationships/hyperlink" Target="https://www.newbelgium.com/company/mission/small-grants-details/" TargetMode="External"/><Relationship Id="rId43" Type="http://schemas.openxmlformats.org/officeDocument/2006/relationships/hyperlink" Target="https://www.econsumeraffairs.com/clif/contactus.htm?site=clif&amp;topic=comment" TargetMode="External"/><Relationship Id="rId48" Type="http://schemas.openxmlformats.org/officeDocument/2006/relationships/hyperlink" Target="https://corporate.homedepot.com/foundation" TargetMode="External"/><Relationship Id="rId64" Type="http://schemas.openxmlformats.org/officeDocument/2006/relationships/hyperlink" Target="https://www.saferoutespartnership.org/sites/default/files/2021_srtp_application_final.pdf" TargetMode="External"/><Relationship Id="rId69" Type="http://schemas.openxmlformats.org/officeDocument/2006/relationships/hyperlink" Target="https://www.aarp.org/livable-communities/community-challenge/info-2021/2021-grantees.html" TargetMode="External"/><Relationship Id="rId113" Type="http://schemas.openxmlformats.org/officeDocument/2006/relationships/hyperlink" Target="https://doublethedonation.com/contact-us" TargetMode="External"/><Relationship Id="rId118" Type="http://schemas.openxmlformats.org/officeDocument/2006/relationships/hyperlink" Target="https://www.friendsofhawaii.org/community/grants-application-and-faqs" TargetMode="External"/><Relationship Id="rId134" Type="http://schemas.openxmlformats.org/officeDocument/2006/relationships/hyperlink" Target="mailto:conciergedesk@wkkf.org" TargetMode="External"/><Relationship Id="rId139" Type="http://schemas.openxmlformats.org/officeDocument/2006/relationships/hyperlink" Target="mailto:grants@kokuahawaiifoundation.org" TargetMode="External"/><Relationship Id="rId80" Type="http://schemas.openxmlformats.org/officeDocument/2006/relationships/hyperlink" Target="https://www.fordfoundation.org/work/our-grants/grants-database/grants-all?search=%26SearchText%3Dhawaii&amp;page=0" TargetMode="External"/><Relationship Id="rId85" Type="http://schemas.openxmlformats.org/officeDocument/2006/relationships/hyperlink" Target="https://betterbikeshare.org/2021/06/16/better-bike-share-partnership-awards-89970-in-grants/" TargetMode="External"/><Relationship Id="rId150" Type="http://schemas.openxmlformats.org/officeDocument/2006/relationships/hyperlink" Target="mailto:info@planetbike.com" TargetMode="External"/><Relationship Id="rId155" Type="http://schemas.openxmlformats.org/officeDocument/2006/relationships/hyperlink" Target="mailto:rfp@aaafoundation.org" TargetMode="External"/><Relationship Id="rId12" Type="http://schemas.openxmlformats.org/officeDocument/2006/relationships/hyperlink" Target="https://nexus.hawaiicommunityfoundation.org/nonprofit" TargetMode="External"/><Relationship Id="rId17" Type="http://schemas.openxmlformats.org/officeDocument/2006/relationships/hyperlink" Target="https://www.fordfoundation.org/work/our-grants/grants-database/grants-all" TargetMode="External"/><Relationship Id="rId33" Type="http://schemas.openxmlformats.org/officeDocument/2006/relationships/hyperlink" Target="https://kokuahawaiifoundation.org/projectgrants/gettingstarted" TargetMode="External"/><Relationship Id="rId38" Type="http://schemas.openxmlformats.org/officeDocument/2006/relationships/hyperlink" Target="https://www.boh.com/siteassets/files/foundations/applying-for-a-grant_20210329.pdf" TargetMode="External"/><Relationship Id="rId59" Type="http://schemas.openxmlformats.org/officeDocument/2006/relationships/hyperlink" Target="https://giving.hawaiipacifichealth.org/fundraising-tool-kit/" TargetMode="External"/><Relationship Id="rId103" Type="http://schemas.openxmlformats.org/officeDocument/2006/relationships/hyperlink" Target="https://www.peopleforbikes.org/grant-guidelines" TargetMode="External"/><Relationship Id="rId108" Type="http://schemas.openxmlformats.org/officeDocument/2006/relationships/hyperlink" Target="https://member.acg.aaa.com/content/dam/acg/pdfs/driving-safety/grant/2021_Traffic_Safety_Grant_Application.pdf" TargetMode="External"/><Relationship Id="rId124" Type="http://schemas.openxmlformats.org/officeDocument/2006/relationships/hyperlink" Target="https://climate.hawaii.gov/grants-to-projects-bridge/" TargetMode="External"/><Relationship Id="rId129" Type="http://schemas.openxmlformats.org/officeDocument/2006/relationships/hyperlink" Target="mailto:changegrants@hcf-hawaii.org" TargetMode="External"/><Relationship Id="rId20" Type="http://schemas.openxmlformats.org/officeDocument/2006/relationships/hyperlink" Target="https://www.matson.com/community/hawaii/index.html" TargetMode="External"/><Relationship Id="rId41" Type="http://schemas.openxmlformats.org/officeDocument/2006/relationships/hyperlink" Target="https://www.cybergrants.com/pls/cybergrants/quiz.display_question?x_gm_id=3237&amp;x_quiz_id=3553&amp;x_order_by=1" TargetMode="External"/><Relationship Id="rId54" Type="http://schemas.openxmlformats.org/officeDocument/2006/relationships/hyperlink" Target="https://mosaic.versaic.com/" TargetMode="External"/><Relationship Id="rId62" Type="http://schemas.openxmlformats.org/officeDocument/2006/relationships/hyperlink" Target="https://betterbikeshare.org/cycles/mini-grant-2021/" TargetMode="External"/><Relationship Id="rId70" Type="http://schemas.openxmlformats.org/officeDocument/2006/relationships/hyperlink" Target="https://www.aarp.org/content/dam/aarp/livable-communities/community-challenge/2020/AttachmentC-Examples_Challenge2020.pdf" TargetMode="External"/><Relationship Id="rId75" Type="http://schemas.openxmlformats.org/officeDocument/2006/relationships/hyperlink" Target="https://give2.hawaiipacifichealth.org/" TargetMode="External"/><Relationship Id="rId83" Type="http://schemas.openxmlformats.org/officeDocument/2006/relationships/hyperlink" Target="https://www.matson.com/community/MatsonGiving_Manifest_2019.pdf" TargetMode="External"/><Relationship Id="rId88" Type="http://schemas.openxmlformats.org/officeDocument/2006/relationships/hyperlink" Target="https://kresge.org/grants-social-investments/grants-awarded/?award_keyword=Hawaii&amp;award_year=&amp;award_funding_area=&amp;organization_location=&amp;sort=recent" TargetMode="External"/><Relationship Id="rId91" Type="http://schemas.openxmlformats.org/officeDocument/2006/relationships/hyperlink" Target="https://www.railstotrails.org/our-work/grants/doppelt/application/" TargetMode="External"/><Relationship Id="rId96" Type="http://schemas.openxmlformats.org/officeDocument/2006/relationships/hyperlink" Target="https://www.hawaiicommunityfoundation.org/file/grants/2021Calendar_FINAL.pdf" TargetMode="External"/><Relationship Id="rId111" Type="http://schemas.openxmlformats.org/officeDocument/2006/relationships/hyperlink" Target="https://doublethedonation.com/" TargetMode="External"/><Relationship Id="rId132" Type="http://schemas.openxmlformats.org/officeDocument/2006/relationships/hyperlink" Target="mailto:evondohlen@hcf-hawaii.org" TargetMode="External"/><Relationship Id="rId140" Type="http://schemas.openxmlformats.org/officeDocument/2006/relationships/hyperlink" Target="mailto:corporate.development@vistaoutdoor.com" TargetMode="External"/><Relationship Id="rId145" Type="http://schemas.openxmlformats.org/officeDocument/2006/relationships/hyperlink" Target="mailto:cgsupport@cybergrants.com" TargetMode="External"/><Relationship Id="rId153" Type="http://schemas.openxmlformats.org/officeDocument/2006/relationships/hyperlink" Target="mailto:parks@saferoutespartnership.org" TargetMode="External"/><Relationship Id="rId1" Type="http://schemas.openxmlformats.org/officeDocument/2006/relationships/hyperlink" Target="https://www.hawaiicommunityfoundation.org/strengthening/change-grants" TargetMode="External"/><Relationship Id="rId6" Type="http://schemas.openxmlformats.org/officeDocument/2006/relationships/hyperlink" Target="https://www.hawaiicommunityfoundation.org/file/2021/CHANGE-Grants-Request-for-Proposals.pdf" TargetMode="External"/><Relationship Id="rId15" Type="http://schemas.openxmlformats.org/officeDocument/2006/relationships/hyperlink" Target="http://safewayfoundation.org/get-funded/grant-funding-guidelines-hawaii/" TargetMode="External"/><Relationship Id="rId23" Type="http://schemas.openxmlformats.org/officeDocument/2006/relationships/hyperlink" Target="https://voicesforhealthykids.org/campaign-resources/grants" TargetMode="External"/><Relationship Id="rId28" Type="http://schemas.openxmlformats.org/officeDocument/2006/relationships/hyperlink" Target="https://kresge.org/grants-social-investments/current-funding-opportunities" TargetMode="External"/><Relationship Id="rId36" Type="http://schemas.openxmlformats.org/officeDocument/2006/relationships/hyperlink" Target="https://online.foundationsource.com/ws/index.jsp?site=vistaoutdoor" TargetMode="External"/><Relationship Id="rId49" Type="http://schemas.openxmlformats.org/officeDocument/2006/relationships/hyperlink" Target="https://www.patagonia.com/how-we-fund/corporate-grant/" TargetMode="External"/><Relationship Id="rId57" Type="http://schemas.openxmlformats.org/officeDocument/2006/relationships/hyperlink" Target="https://www.360adventurecollective.org/contact-us" TargetMode="External"/><Relationship Id="rId106" Type="http://schemas.openxmlformats.org/officeDocument/2006/relationships/hyperlink" Target="https://member.acg.aaa.com/content/dam/acg/pdfs/driving-safety/grant/2021_Traffic_Safety_Grant_Application.pdf" TargetMode="External"/><Relationship Id="rId114" Type="http://schemas.openxmlformats.org/officeDocument/2006/relationships/hyperlink" Target="https://support.doublethedonation.com/portal/en/home" TargetMode="External"/><Relationship Id="rId119" Type="http://schemas.openxmlformats.org/officeDocument/2006/relationships/hyperlink" Target="https://www.friendsofhawaii.org/community/community-impact" TargetMode="External"/><Relationship Id="rId127" Type="http://schemas.openxmlformats.org/officeDocument/2006/relationships/hyperlink" Target="mailto:communitychallenge@aarp.org" TargetMode="External"/><Relationship Id="rId10" Type="http://schemas.openxmlformats.org/officeDocument/2006/relationships/hyperlink" Target="https://www.wardvillage.com/about/giving-back/" TargetMode="External"/><Relationship Id="rId31" Type="http://schemas.openxmlformats.org/officeDocument/2006/relationships/hyperlink" Target="https://www.railstotrails.org/media/983586/2021-trail-grants-application-worksheet.docx" TargetMode="External"/><Relationship Id="rId44" Type="http://schemas.openxmlformats.org/officeDocument/2006/relationships/hyperlink" Target="https://www.hei.com/sustainability/charitable-foundation/default.aspx" TargetMode="External"/><Relationship Id="rId52" Type="http://schemas.openxmlformats.org/officeDocument/2006/relationships/hyperlink" Target="https://about.kaiserpermanente.org/community-health/communities-we-serve/mid-atlantic-community/grants-and-sponsorships" TargetMode="External"/><Relationship Id="rId60" Type="http://schemas.openxmlformats.org/officeDocument/2006/relationships/hyperlink" Target="https://betterbikeshare.org/grant/better-bike-share-mini-grants/" TargetMode="External"/><Relationship Id="rId65" Type="http://schemas.openxmlformats.org/officeDocument/2006/relationships/hyperlink" Target="https://www.saferoutespartnership.org/resources/fact-sheet/safe-routes-parks-0" TargetMode="External"/><Relationship Id="rId73" Type="http://schemas.openxmlformats.org/officeDocument/2006/relationships/hyperlink" Target="https://www.hawaiicommunityfoundation.org/grants/open-applications" TargetMode="External"/><Relationship Id="rId78" Type="http://schemas.openxmlformats.org/officeDocument/2006/relationships/hyperlink" Target="https://hands.ehawaii.gov/hands/awards" TargetMode="External"/><Relationship Id="rId81" Type="http://schemas.openxmlformats.org/officeDocument/2006/relationships/hyperlink" Target="https://www.fordfoundation.org/work/our-grants/grant-opportunities/" TargetMode="External"/><Relationship Id="rId86" Type="http://schemas.openxmlformats.org/officeDocument/2006/relationships/hyperlink" Target="https://www.saferoutespartnership.org/healthy-communities/saferoutestoparks/2021-grantees" TargetMode="External"/><Relationship Id="rId94" Type="http://schemas.openxmlformats.org/officeDocument/2006/relationships/hyperlink" Target="https://www.outsidebusinessjournal.com/advocacy/nonprofits/what-outdoor-nonprofits-need-to-know-about-vistas-new-foundation/" TargetMode="External"/><Relationship Id="rId99" Type="http://schemas.openxmlformats.org/officeDocument/2006/relationships/hyperlink" Target="https://www.hawaiianelectric.com/hei-charitable-foundation-donates-125000-to-hawaii-foodbank-and-united-way-for-covid-19-aid" TargetMode="External"/><Relationship Id="rId101" Type="http://schemas.openxmlformats.org/officeDocument/2006/relationships/hyperlink" Target="https://www.hawaiitourismauthority.org/rfps/previous-awardees/" TargetMode="External"/><Relationship Id="rId122" Type="http://schemas.openxmlformats.org/officeDocument/2006/relationships/hyperlink" Target="http://www.charitywalkhawaii.org/for-non-profits.html" TargetMode="External"/><Relationship Id="rId130" Type="http://schemas.openxmlformats.org/officeDocument/2006/relationships/hyperlink" Target="mailto:keolal@jamescampbell.com" TargetMode="External"/><Relationship Id="rId135" Type="http://schemas.openxmlformats.org/officeDocument/2006/relationships/hyperlink" Target="mailto:giving@matson.com" TargetMode="External"/><Relationship Id="rId143" Type="http://schemas.openxmlformats.org/officeDocument/2006/relationships/hyperlink" Target="mailto:heicf@hei.com." TargetMode="External"/><Relationship Id="rId148" Type="http://schemas.openxmlformats.org/officeDocument/2006/relationships/hyperlink" Target="mailto:donationrequest@llbean.com" TargetMode="External"/><Relationship Id="rId151" Type="http://schemas.openxmlformats.org/officeDocument/2006/relationships/hyperlink" Target="mailto:amanda.price@hawaiipacifichealth.org" TargetMode="External"/><Relationship Id="rId156" Type="http://schemas.openxmlformats.org/officeDocument/2006/relationships/hyperlink" Target="mailto:info@bikeandbuild.org" TargetMode="External"/><Relationship Id="rId4" Type="http://schemas.openxmlformats.org/officeDocument/2006/relationships/hyperlink" Target="https://www.aarp.org/livable-communities/community-challenge/info-2020/2020-challenge.html?cmp=EMC-DSM-NLC-LC-HOMFAM-20200205_LivableCommunities_899300_1269402-020520-F1-2020Challenge-CTA_Button-CTRL-4345770&amp;encparam=eM4JXBVO25uxfVcG%2fIi3fnS5wNqDU8rLihmxaC4RJ7g%3d" TargetMode="External"/><Relationship Id="rId9" Type="http://schemas.openxmlformats.org/officeDocument/2006/relationships/hyperlink" Target="../../KushimaPD/AppData/Local/Microsoft/Windows/INetCache/wardvillage.com/community/hawaii-community-foundation" TargetMode="External"/><Relationship Id="rId13" Type="http://schemas.openxmlformats.org/officeDocument/2006/relationships/hyperlink" Target="https://www.athertonfamilyfoundation.org/file/Atherton-Grant-Application-Guidelines-2021-upd.-12-2020.pdf" TargetMode="External"/><Relationship Id="rId18" Type="http://schemas.openxmlformats.org/officeDocument/2006/relationships/hyperlink" Target="https://www.wkkf.org/how-to-apply" TargetMode="External"/><Relationship Id="rId39" Type="http://schemas.openxmlformats.org/officeDocument/2006/relationships/hyperlink" Target="https://www.hawaiicommunityfoundation.org/grants/open-applications" TargetMode="External"/><Relationship Id="rId109" Type="http://schemas.openxmlformats.org/officeDocument/2006/relationships/hyperlink" Target="https://doublethedonation.com/tips/volunteer-grant-basics/" TargetMode="External"/><Relationship Id="rId34" Type="http://schemas.openxmlformats.org/officeDocument/2006/relationships/hyperlink" Target="https://docs.google.com/forms/d/e/1FAIpQLSf_MKZrlv186JJDx6f2qRZD7ztPFpR1lTZ1tSetrvbRjGi3eA/viewform" TargetMode="External"/><Relationship Id="rId50" Type="http://schemas.openxmlformats.org/officeDocument/2006/relationships/hyperlink" Target="https://www.hawaiitourismauthority.org/rfps/" TargetMode="External"/><Relationship Id="rId55" Type="http://schemas.openxmlformats.org/officeDocument/2006/relationships/hyperlink" Target="https://hidot.hawaii.gov/administration/fta-grant-programs/" TargetMode="External"/><Relationship Id="rId76" Type="http://schemas.openxmlformats.org/officeDocument/2006/relationships/hyperlink" Target="https://static1.squarespace.com/static/5b7f22db1aef1d9ac2fa8de0/t/5fd908801f10986c2edc10c2/1608059026970/JACFF+2019+Annual+Report.pdf" TargetMode="External"/><Relationship Id="rId97" Type="http://schemas.openxmlformats.org/officeDocument/2006/relationships/hyperlink" Target="https://www.hawaiicommunityfoundation.org/file/2021/FINAL-2021-East-Hawaii_West-Hawaii_Kukio_RFP.pdf" TargetMode="External"/><Relationship Id="rId104" Type="http://schemas.openxmlformats.org/officeDocument/2006/relationships/hyperlink" Target="https://www.peopleforbikes.org/mission" TargetMode="External"/><Relationship Id="rId120" Type="http://schemas.openxmlformats.org/officeDocument/2006/relationships/hyperlink" Target="http://www.charitywalkhawaii.org/" TargetMode="External"/><Relationship Id="rId125" Type="http://schemas.openxmlformats.org/officeDocument/2006/relationships/hyperlink" Target="https://kresge.org/grants-social-investments/grants-awarded/?award_keyword=national+inter&amp;award_year=&amp;award_funding_area=increase-creative-capacity-to-shape-healthier-neighborhoods&amp;organization_location=&amp;sort=a-z" TargetMode="External"/><Relationship Id="rId141" Type="http://schemas.openxmlformats.org/officeDocument/2006/relationships/hyperlink" Target="mailto:claire.tarumoto@boh.com" TargetMode="External"/><Relationship Id="rId146" Type="http://schemas.openxmlformats.org/officeDocument/2006/relationships/hyperlink" Target="mailto:Charlene@gohta.net" TargetMode="External"/><Relationship Id="rId7" Type="http://schemas.openxmlformats.org/officeDocument/2006/relationships/hyperlink" Target="https://nexus.hawaiicommunityfoundation.org/SSLPage.aspx?pid=330" TargetMode="External"/><Relationship Id="rId71" Type="http://schemas.openxmlformats.org/officeDocument/2006/relationships/hyperlink" Target="https://www.grantinterface.com/Home/Logon?urlkey=healy" TargetMode="External"/><Relationship Id="rId92" Type="http://schemas.openxmlformats.org/officeDocument/2006/relationships/hyperlink" Target="https://www.planetbike.com/blog/planet-bike-awards-over-25000-supporting-13-advocacy-groups-across-the-us/" TargetMode="External"/><Relationship Id="rId2" Type="http://schemas.openxmlformats.org/officeDocument/2006/relationships/hyperlink" Target="https://www.wardvillagefoundation.org/apply/" TargetMode="External"/><Relationship Id="rId29" Type="http://schemas.openxmlformats.org/officeDocument/2006/relationships/hyperlink" Target="https://kresge.org/grants-social-investments/how-to-apply/" TargetMode="External"/><Relationship Id="rId24" Type="http://schemas.openxmlformats.org/officeDocument/2006/relationships/hyperlink" Target="https://www.nsc.org/road-safety/get-involved/road-to-zero/grants" TargetMode="External"/><Relationship Id="rId40" Type="http://schemas.openxmlformats.org/officeDocument/2006/relationships/hyperlink" Target="https://www.hawaiicommunityfoundation.org/grants/community-grants" TargetMode="External"/><Relationship Id="rId45" Type="http://schemas.openxmlformats.org/officeDocument/2006/relationships/hyperlink" Target="https://s2.q4cdn.com/268623243/files/doc_downloads/HEI-Foundation-Application-2021.pdf" TargetMode="External"/><Relationship Id="rId66" Type="http://schemas.openxmlformats.org/officeDocument/2006/relationships/hyperlink" Target="https://hmsafoundation.org/" TargetMode="External"/><Relationship Id="rId87" Type="http://schemas.openxmlformats.org/officeDocument/2006/relationships/hyperlink" Target="https://www.newbelgium.com/company/mission/small-grants-details/" TargetMode="External"/><Relationship Id="rId110" Type="http://schemas.openxmlformats.org/officeDocument/2006/relationships/hyperlink" Target="https://bikeandbuild.org/programs/" TargetMode="External"/><Relationship Id="rId115" Type="http://schemas.openxmlformats.org/officeDocument/2006/relationships/hyperlink" Target="https://bikeandbuild.org/about/" TargetMode="External"/><Relationship Id="rId131" Type="http://schemas.openxmlformats.org/officeDocument/2006/relationships/hyperlink" Target="mailto:tara.yi.lucas@hawaii.gov" TargetMode="External"/><Relationship Id="rId136" Type="http://schemas.openxmlformats.org/officeDocument/2006/relationships/hyperlink" Target="mailto:shannon.melluzzo@heart.org" TargetMode="External"/><Relationship Id="rId157" Type="http://schemas.openxmlformats.org/officeDocument/2006/relationships/hyperlink" Target="mailto:friend@friendsofhawaii.org" TargetMode="External"/><Relationship Id="rId61" Type="http://schemas.openxmlformats.org/officeDocument/2006/relationships/hyperlink" Target="https://betterbikeshare.org/wp-content/uploads/2021/03/BBSP-Mini-Grant-app-2021.docx" TargetMode="External"/><Relationship Id="rId82" Type="http://schemas.openxmlformats.org/officeDocument/2006/relationships/hyperlink" Target="https://www.wkkf.org/grants" TargetMode="External"/><Relationship Id="rId152" Type="http://schemas.openxmlformats.org/officeDocument/2006/relationships/hyperlink" Target="mailto:kiran@peopleforbikes.org" TargetMode="External"/><Relationship Id="rId19" Type="http://schemas.openxmlformats.org/officeDocument/2006/relationships/hyperlink" Target="https://www.wkkf.org/grants" TargetMode="External"/><Relationship Id="rId14" Type="http://schemas.openxmlformats.org/officeDocument/2006/relationships/hyperlink" Target="https://albertsonscompaniesfoundation.versaic.com/login" TargetMode="External"/><Relationship Id="rId30" Type="http://schemas.openxmlformats.org/officeDocument/2006/relationships/hyperlink" Target="https://secure.railstotrails.org/site/SSurvey;jsessionid=00000000.app20052a?NONCE_TOKEN=6228A0774F2ED9078D84E8E9A4EBDB25&amp;ACTION_REQUIRED=URI_ACTION_USER_REQUESTS&amp;SURVEY_ID=10685" TargetMode="External"/><Relationship Id="rId35" Type="http://schemas.openxmlformats.org/officeDocument/2006/relationships/hyperlink" Target="https://vistaoutdoor.com/social-responsibility/foundation/" TargetMode="External"/><Relationship Id="rId56" Type="http://schemas.openxmlformats.org/officeDocument/2006/relationships/hyperlink" Target="https://hidot.hawaii.gov/administration/files/2021/06/2021-5310-Fillable-Application.pdf" TargetMode="External"/><Relationship Id="rId77" Type="http://schemas.openxmlformats.org/officeDocument/2006/relationships/hyperlink" Target="https://www.wardvillage.com/press/ward-village-furthers-commitment-to-local-community-with-212700-in-grants-to-eight-hawaii%E2%80%90based-nonprofits/" TargetMode="External"/><Relationship Id="rId100" Type="http://schemas.openxmlformats.org/officeDocument/2006/relationships/hyperlink" Target="https://static1.squarespace.com/static/5a9f1fe9a2772c04af8aa709/t/5ba98a1653450af1f8deac3b/1537837590833/HMSAF_How_to_Apply_v1.1.pdf" TargetMode="External"/><Relationship Id="rId105" Type="http://schemas.openxmlformats.org/officeDocument/2006/relationships/hyperlink" Target="mailto:info@aaafoundation.org" TargetMode="External"/><Relationship Id="rId126" Type="http://schemas.openxmlformats.org/officeDocument/2006/relationships/hyperlink" Target="https://www.planetbike.com/practice/" TargetMode="External"/><Relationship Id="rId147" Type="http://schemas.openxmlformats.org/officeDocument/2006/relationships/hyperlink" Target="mailto:media@kresge.org" TargetMode="External"/><Relationship Id="rId8" Type="http://schemas.openxmlformats.org/officeDocument/2006/relationships/hyperlink" Target="../../KushimaPD/AppData/Local/Microsoft/Windows/INetCache/campbellfamilyfoundation.org" TargetMode="External"/><Relationship Id="rId51" Type="http://schemas.openxmlformats.org/officeDocument/2006/relationships/hyperlink" Target="https://www.hawaiitourismauthority.org/media/5419/hta-strategic-plan-2020-2025.pdf" TargetMode="External"/><Relationship Id="rId72" Type="http://schemas.openxmlformats.org/officeDocument/2006/relationships/hyperlink" Target="https://www.thehealyfoundation.org/projects" TargetMode="External"/><Relationship Id="rId93" Type="http://schemas.openxmlformats.org/officeDocument/2006/relationships/hyperlink" Target="https://www.kokuahawaiifoundation.org/projectgrants" TargetMode="External"/><Relationship Id="rId98" Type="http://schemas.openxmlformats.org/officeDocument/2006/relationships/hyperlink" Target="https://www.healthcaregrants.info/GrantDetails.aspx?gid=32870" TargetMode="External"/><Relationship Id="rId121" Type="http://schemas.openxmlformats.org/officeDocument/2006/relationships/hyperlink" Target="http://www.charitywalkhawaii.org/contact.html" TargetMode="External"/><Relationship Id="rId142" Type="http://schemas.openxmlformats.org/officeDocument/2006/relationships/hyperlink" Target="mailto:info@hcf-hawaii.org" TargetMode="External"/><Relationship Id="rId3" Type="http://schemas.openxmlformats.org/officeDocument/2006/relationships/hyperlink" Target="https://hands.ehawaii.gov/hands/opportunities/opportunity-details/18855" TargetMode="External"/><Relationship Id="rId25" Type="http://schemas.openxmlformats.org/officeDocument/2006/relationships/hyperlink" Target="https://www.nsc.org/road/resources/road-to-zero/road-to-zero-priority-statement" TargetMode="External"/><Relationship Id="rId46" Type="http://schemas.openxmlformats.org/officeDocument/2006/relationships/hyperlink" Target="https://issuu.com/heihawaii/docs/hei-foundation-report-2020" TargetMode="External"/><Relationship Id="rId67" Type="http://schemas.openxmlformats.org/officeDocument/2006/relationships/hyperlink" Target="https://hmsafoundation.org/contact" TargetMode="External"/><Relationship Id="rId116" Type="http://schemas.openxmlformats.org/officeDocument/2006/relationships/hyperlink" Target="https://bikeandbuild.org/programs/financial-assistance/" TargetMode="External"/><Relationship Id="rId137" Type="http://schemas.openxmlformats.org/officeDocument/2006/relationships/hyperlink" Target="mailto:RoadToZero@nsc.org" TargetMode="External"/><Relationship Id="rId158" Type="http://schemas.openxmlformats.org/officeDocument/2006/relationships/hyperlink" Target="mailto:charitywalk@hawaiilodging.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hidot.hawaii.gov/highways/srts/" TargetMode="External"/><Relationship Id="rId13" Type="http://schemas.openxmlformats.org/officeDocument/2006/relationships/hyperlink" Target="https://hidot.hawaii.gov/wp-content/uploads/2017/05/STF-May-15-2017-NOTES.pdf" TargetMode="External"/><Relationship Id="rId18" Type="http://schemas.openxmlformats.org/officeDocument/2006/relationships/hyperlink" Target="mailto:Karen.G.Kahikina@hawaii.gov" TargetMode="External"/><Relationship Id="rId26" Type="http://schemas.openxmlformats.org/officeDocument/2006/relationships/hyperlink" Target="https://hidot.hawaii.gov/highways/mvso/" TargetMode="External"/><Relationship Id="rId3" Type="http://schemas.openxmlformats.org/officeDocument/2006/relationships/hyperlink" Target="https://www.transportation.gov/RAISEgrants/apply" TargetMode="External"/><Relationship Id="rId21" Type="http://schemas.openxmlformats.org/officeDocument/2006/relationships/hyperlink" Target="mailto:INFRAgrants@dot.gov" TargetMode="External"/><Relationship Id="rId7" Type="http://schemas.openxmlformats.org/officeDocument/2006/relationships/hyperlink" Target="https://www.transportation.gov/RAISEgrants/apply" TargetMode="External"/><Relationship Id="rId12" Type="http://schemas.openxmlformats.org/officeDocument/2006/relationships/hyperlink" Target="mailto:TA.Program@hawaii.gov" TargetMode="External"/><Relationship Id="rId17" Type="http://schemas.openxmlformats.org/officeDocument/2006/relationships/hyperlink" Target="https://www.nhtsa.gov/highway-safety-grants-program/faqs-impacts-public-health-emergency-covid-19-nhtsas-fy-2021-highway" TargetMode="External"/><Relationship Id="rId25" Type="http://schemas.openxmlformats.org/officeDocument/2006/relationships/hyperlink" Target="https://hidot.hawaii.gov/highways/srts/" TargetMode="External"/><Relationship Id="rId2" Type="http://schemas.openxmlformats.org/officeDocument/2006/relationships/hyperlink" Target="mailto:RAISEgrants@dot.gov" TargetMode="External"/><Relationship Id="rId16" Type="http://schemas.openxmlformats.org/officeDocument/2006/relationships/hyperlink" Target="https://hidot.hawaii.gov/administration/2019-safe-routes-to-school-informational-workshops-announced/" TargetMode="External"/><Relationship Id="rId20" Type="http://schemas.openxmlformats.org/officeDocument/2006/relationships/hyperlink" Target="https://climate.hawaii.gov/grants-to-projects-bridge/" TargetMode="External"/><Relationship Id="rId29" Type="http://schemas.openxmlformats.org/officeDocument/2006/relationships/printerSettings" Target="../printerSettings/printerSettings2.bin"/><Relationship Id="rId1" Type="http://schemas.openxmlformats.org/officeDocument/2006/relationships/hyperlink" Target="https://www.transportation.gov/RAISEgrants/outreach" TargetMode="External"/><Relationship Id="rId6" Type="http://schemas.openxmlformats.org/officeDocument/2006/relationships/hyperlink" Target="https://www.transportation.gov/buildamerica/financing/infra-grants/infrastructure-rebuilding-america" TargetMode="External"/><Relationship Id="rId11" Type="http://schemas.openxmlformats.org/officeDocument/2006/relationships/hyperlink" Target="https://safety.fhwa.dot.gov/hsip/hsip.cfm" TargetMode="External"/><Relationship Id="rId24" Type="http://schemas.openxmlformats.org/officeDocument/2006/relationships/hyperlink" Target="mailto:Jan.higaki@hawaii.gov" TargetMode="External"/><Relationship Id="rId5" Type="http://schemas.openxmlformats.org/officeDocument/2006/relationships/hyperlink" Target="https://www.transportation.gov/buildamerica/financing/infra-grants/how-apply" TargetMode="External"/><Relationship Id="rId15" Type="http://schemas.openxmlformats.org/officeDocument/2006/relationships/hyperlink" Target="https://www.nhtsa.gov/highway-safety-grants-program" TargetMode="External"/><Relationship Id="rId23" Type="http://schemas.openxmlformats.org/officeDocument/2006/relationships/hyperlink" Target="https://hidot.hawaii.gov/administration/files/2021/06/2021-5310-Fillable-Application.pdf" TargetMode="External"/><Relationship Id="rId28" Type="http://schemas.openxmlformats.org/officeDocument/2006/relationships/hyperlink" Target="mailto:Mark.Glaze@dot.gov" TargetMode="External"/><Relationship Id="rId10" Type="http://schemas.openxmlformats.org/officeDocument/2006/relationships/hyperlink" Target="mailto:dotpao@hawaii.gov" TargetMode="External"/><Relationship Id="rId19" Type="http://schemas.openxmlformats.org/officeDocument/2006/relationships/hyperlink" Target="https://www.nhtsa.gov/sites/nhtsa.gov/files/documents/hi_fy21_hsp.pdf" TargetMode="External"/><Relationship Id="rId4" Type="http://schemas.openxmlformats.org/officeDocument/2006/relationships/hyperlink" Target="https://www.transportation.gov/buildamerica/financing/infra-grants/infra-webinar-series" TargetMode="External"/><Relationship Id="rId9" Type="http://schemas.openxmlformats.org/officeDocument/2006/relationships/hyperlink" Target="https://hidot.hawaii.gov/administration/fta-grant-programs/" TargetMode="External"/><Relationship Id="rId14" Type="http://schemas.openxmlformats.org/officeDocument/2006/relationships/hyperlink" Target="mailto:saferoutestoschool@hawaii.gov" TargetMode="External"/><Relationship Id="rId22" Type="http://schemas.openxmlformats.org/officeDocument/2006/relationships/hyperlink" Target="https://hidot.hawaii.gov/administration/files/2021/06/2021-5310-Appplication-Info_v2.docx" TargetMode="External"/><Relationship Id="rId27" Type="http://schemas.openxmlformats.org/officeDocument/2006/relationships/hyperlink" Target="https://www.fhwa.dot.gov/fastact/factsheets/cmaqfs.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0D130-049E-4782-B07C-AAB085CD40C3}">
  <dimension ref="A1:M47"/>
  <sheetViews>
    <sheetView zoomScale="106" zoomScaleNormal="100" workbookViewId="0">
      <pane ySplit="4" topLeftCell="A36" activePane="bottomLeft" state="frozen"/>
      <selection pane="bottomLeft" activeCell="D20" sqref="D20"/>
    </sheetView>
  </sheetViews>
  <sheetFormatPr defaultColWidth="8.69921875" defaultRowHeight="13.8" x14ac:dyDescent="0.25"/>
  <cols>
    <col min="1" max="1" width="11.69921875" style="33" customWidth="1"/>
    <col min="2" max="2" width="12.19921875" style="33" customWidth="1"/>
    <col min="3" max="3" width="28.5" style="33" customWidth="1"/>
    <col min="4" max="4" width="34.5" style="33" customWidth="1"/>
    <col min="5" max="5" width="22.19921875" style="33" customWidth="1"/>
    <col min="6" max="6" width="27.69921875" style="33" customWidth="1"/>
    <col min="7" max="7" width="23.19921875" style="33" bestFit="1" customWidth="1"/>
    <col min="8" max="8" width="33.19921875" style="33" customWidth="1"/>
    <col min="9" max="10" width="25.19921875" style="33" customWidth="1"/>
    <col min="11" max="16384" width="8.69921875" style="33"/>
  </cols>
  <sheetData>
    <row r="1" spans="1:11" ht="30" customHeight="1" x14ac:dyDescent="0.25">
      <c r="A1" s="58" t="s">
        <v>302</v>
      </c>
      <c r="B1" s="59"/>
      <c r="C1" s="59"/>
      <c r="D1" s="59"/>
      <c r="E1" s="59"/>
      <c r="F1" s="59"/>
      <c r="G1" s="59"/>
      <c r="H1" s="59"/>
      <c r="I1" s="59"/>
      <c r="J1" s="59"/>
    </row>
    <row r="2" spans="1:11" ht="30" customHeight="1" x14ac:dyDescent="0.25">
      <c r="A2" s="54" t="s">
        <v>301</v>
      </c>
      <c r="B2" s="55"/>
      <c r="C2" s="56"/>
      <c r="D2" s="34"/>
      <c r="E2" s="34"/>
      <c r="F2" s="34"/>
      <c r="G2" s="34"/>
      <c r="H2" s="35"/>
      <c r="I2" s="34"/>
      <c r="J2" s="34"/>
    </row>
    <row r="3" spans="1:11" s="36" customFormat="1" ht="4.2" customHeight="1" x14ac:dyDescent="0.25">
      <c r="A3" s="60"/>
      <c r="B3" s="61"/>
      <c r="C3" s="61"/>
      <c r="D3" s="61"/>
      <c r="E3" s="61"/>
      <c r="F3" s="61"/>
      <c r="G3" s="61"/>
      <c r="H3" s="61"/>
      <c r="I3" s="61"/>
      <c r="J3" s="62"/>
    </row>
    <row r="4" spans="1:11" ht="30" customHeight="1" x14ac:dyDescent="0.25">
      <c r="A4" s="29" t="s">
        <v>254</v>
      </c>
      <c r="B4" s="29" t="s">
        <v>255</v>
      </c>
      <c r="C4" s="29" t="s">
        <v>304</v>
      </c>
      <c r="D4" s="29" t="s">
        <v>0</v>
      </c>
      <c r="E4" s="30" t="s">
        <v>290</v>
      </c>
      <c r="F4" s="29" t="s">
        <v>291</v>
      </c>
      <c r="G4" s="29" t="s">
        <v>257</v>
      </c>
      <c r="H4" s="30" t="s">
        <v>258</v>
      </c>
      <c r="I4" s="29" t="s">
        <v>289</v>
      </c>
      <c r="J4" s="29" t="s">
        <v>305</v>
      </c>
    </row>
    <row r="5" spans="1:11" ht="46.8" x14ac:dyDescent="0.25">
      <c r="A5" s="14" t="s">
        <v>292</v>
      </c>
      <c r="B5" s="14"/>
      <c r="C5" s="15" t="s">
        <v>2</v>
      </c>
      <c r="D5" s="14" t="s">
        <v>308</v>
      </c>
      <c r="E5" s="14" t="s">
        <v>5</v>
      </c>
      <c r="F5" s="15" t="s">
        <v>3</v>
      </c>
      <c r="G5" s="15" t="s">
        <v>4</v>
      </c>
      <c r="H5" s="15" t="s">
        <v>6</v>
      </c>
      <c r="I5" s="14" t="s">
        <v>288</v>
      </c>
      <c r="J5" s="14"/>
    </row>
    <row r="6" spans="1:11" ht="46.8" x14ac:dyDescent="0.25">
      <c r="A6" s="14"/>
      <c r="B6" s="16">
        <v>43956</v>
      </c>
      <c r="C6" s="15" t="s">
        <v>7</v>
      </c>
      <c r="D6" s="14" t="s">
        <v>309</v>
      </c>
      <c r="E6" s="14" t="s">
        <v>11</v>
      </c>
      <c r="F6" s="15" t="s">
        <v>8</v>
      </c>
      <c r="G6" s="15" t="s">
        <v>9</v>
      </c>
      <c r="H6" s="15" t="s">
        <v>12</v>
      </c>
      <c r="I6" s="15"/>
      <c r="J6" s="15" t="s">
        <v>10</v>
      </c>
      <c r="K6" s="31"/>
    </row>
    <row r="7" spans="1:11" ht="46.8" x14ac:dyDescent="0.25">
      <c r="A7" s="14" t="s">
        <v>13</v>
      </c>
      <c r="B7" s="14"/>
      <c r="C7" s="17" t="str">
        <f>HYPERLINK("https://www.thehealyfoundation.org/","Healy Foundation")</f>
        <v>Healy Foundation</v>
      </c>
      <c r="D7" s="14" t="s">
        <v>310</v>
      </c>
      <c r="E7" s="14" t="s">
        <v>17</v>
      </c>
      <c r="F7" s="15" t="s">
        <v>14</v>
      </c>
      <c r="G7" s="18" t="s">
        <v>15</v>
      </c>
      <c r="H7" s="14" t="s">
        <v>18</v>
      </c>
      <c r="I7" s="15"/>
      <c r="J7" s="15" t="s">
        <v>16</v>
      </c>
      <c r="K7" s="31"/>
    </row>
    <row r="8" spans="1:11" ht="46.8" x14ac:dyDescent="0.25">
      <c r="A8" s="14"/>
      <c r="B8" s="16">
        <v>44295</v>
      </c>
      <c r="C8" s="15" t="s">
        <v>19</v>
      </c>
      <c r="D8" s="14" t="s">
        <v>311</v>
      </c>
      <c r="E8" s="14" t="s">
        <v>5</v>
      </c>
      <c r="F8" s="15" t="s">
        <v>20</v>
      </c>
      <c r="G8" s="15" t="s">
        <v>21</v>
      </c>
      <c r="H8" s="15" t="s">
        <v>23</v>
      </c>
      <c r="I8" s="15"/>
      <c r="J8" s="15" t="s">
        <v>22</v>
      </c>
      <c r="K8" s="31"/>
    </row>
    <row r="9" spans="1:11" ht="31.2" x14ac:dyDescent="0.25">
      <c r="A9" s="14"/>
      <c r="B9" s="14"/>
      <c r="C9" s="15" t="s">
        <v>24</v>
      </c>
      <c r="D9" s="14" t="s">
        <v>25</v>
      </c>
      <c r="E9" s="14" t="s">
        <v>29</v>
      </c>
      <c r="F9" s="15" t="s">
        <v>26</v>
      </c>
      <c r="G9" s="15" t="s">
        <v>27</v>
      </c>
      <c r="H9" s="15" t="s">
        <v>30</v>
      </c>
      <c r="I9" s="15"/>
      <c r="J9" s="15" t="s">
        <v>28</v>
      </c>
      <c r="K9" s="31"/>
    </row>
    <row r="10" spans="1:11" ht="62.4" x14ac:dyDescent="0.25">
      <c r="A10" s="14"/>
      <c r="B10" s="19" t="s">
        <v>31</v>
      </c>
      <c r="C10" s="15" t="str">
        <f>HYPERLINK("https://static1.squarespace.com/static/5b7f22db1aef1d9ac2fa8de0/t/5b849646b8a0450613a6bb70/1535415879263/JACFFgrantguideline1.pdf","Campbell Family Foundation")</f>
        <v>Campbell Family Foundation</v>
      </c>
      <c r="D10" s="14" t="s">
        <v>296</v>
      </c>
      <c r="E10" s="14" t="s">
        <v>5</v>
      </c>
      <c r="F10" s="15" t="s">
        <v>32</v>
      </c>
      <c r="G10" s="15" t="s">
        <v>33</v>
      </c>
      <c r="H10" s="14" t="s">
        <v>35</v>
      </c>
      <c r="I10" s="15"/>
      <c r="J10" s="15" t="s">
        <v>34</v>
      </c>
      <c r="K10" s="31"/>
    </row>
    <row r="11" spans="1:11" ht="46.8" x14ac:dyDescent="0.25">
      <c r="A11" s="14"/>
      <c r="B11" s="14"/>
      <c r="C11" s="17" t="s">
        <v>36</v>
      </c>
      <c r="D11" s="14" t="s">
        <v>37</v>
      </c>
      <c r="E11" s="14"/>
      <c r="F11" s="15" t="s">
        <v>38</v>
      </c>
      <c r="G11" s="15" t="s">
        <v>39</v>
      </c>
      <c r="H11" s="14" t="s">
        <v>40</v>
      </c>
      <c r="I11" s="32" t="s">
        <v>306</v>
      </c>
      <c r="J11" s="15"/>
      <c r="K11" s="31"/>
    </row>
    <row r="12" spans="1:11" ht="31.2" x14ac:dyDescent="0.25">
      <c r="A12" s="16">
        <v>43854</v>
      </c>
      <c r="B12" s="14" t="s">
        <v>41</v>
      </c>
      <c r="C12" s="17" t="s">
        <v>42</v>
      </c>
      <c r="D12" s="14" t="s">
        <v>43</v>
      </c>
      <c r="E12" s="14" t="s">
        <v>295</v>
      </c>
      <c r="F12" s="15" t="s">
        <v>44</v>
      </c>
      <c r="G12" s="15" t="s">
        <v>45</v>
      </c>
      <c r="H12" s="14" t="s">
        <v>293</v>
      </c>
      <c r="I12" s="15"/>
      <c r="J12" s="15" t="s">
        <v>46</v>
      </c>
    </row>
    <row r="13" spans="1:11" ht="109.2" x14ac:dyDescent="0.25">
      <c r="A13" s="14"/>
      <c r="B13" s="14" t="s">
        <v>47</v>
      </c>
      <c r="C13" s="15" t="s">
        <v>48</v>
      </c>
      <c r="D13" s="14" t="s">
        <v>49</v>
      </c>
      <c r="E13" s="14" t="s">
        <v>53</v>
      </c>
      <c r="F13" s="14" t="s">
        <v>50</v>
      </c>
      <c r="G13" s="15" t="s">
        <v>51</v>
      </c>
      <c r="H13" s="14" t="s">
        <v>294</v>
      </c>
      <c r="I13" s="15"/>
      <c r="J13" s="15" t="s">
        <v>52</v>
      </c>
    </row>
    <row r="14" spans="1:11" ht="31.2" x14ac:dyDescent="0.25">
      <c r="A14" s="14"/>
      <c r="B14" s="14"/>
      <c r="C14" s="17" t="str">
        <f>HYPERLINK("http://safewayfoundation.org/get-funded/grant-funding-guidelines-hawaii/","Safeway Foundation")</f>
        <v>Safeway Foundation</v>
      </c>
      <c r="D14" s="14" t="s">
        <v>54</v>
      </c>
      <c r="E14" s="14"/>
      <c r="F14" s="20" t="s">
        <v>55</v>
      </c>
      <c r="G14" s="15" t="s">
        <v>56</v>
      </c>
      <c r="H14" s="15" t="s">
        <v>58</v>
      </c>
      <c r="I14" s="15"/>
      <c r="J14" s="15" t="s">
        <v>57</v>
      </c>
    </row>
    <row r="15" spans="1:11" ht="46.8" x14ac:dyDescent="0.25">
      <c r="A15" s="14" t="s">
        <v>59</v>
      </c>
      <c r="B15" s="14" t="s">
        <v>60</v>
      </c>
      <c r="C15" s="17" t="str">
        <f>HYPERLINK("https://www.3m.com/3M/en_US/gives-us/nonprofit-guidelines/","3m Foundation")</f>
        <v>3m Foundation</v>
      </c>
      <c r="D15" s="14" t="s">
        <v>61</v>
      </c>
      <c r="E15" s="14"/>
      <c r="F15" s="15" t="s">
        <v>62</v>
      </c>
      <c r="G15" s="15" t="s">
        <v>63</v>
      </c>
      <c r="H15" s="14" t="s">
        <v>297</v>
      </c>
      <c r="I15" s="14" t="s">
        <v>298</v>
      </c>
      <c r="J15" s="14"/>
    </row>
    <row r="16" spans="1:11" ht="31.2" x14ac:dyDescent="0.25">
      <c r="A16" s="14" t="s">
        <v>13</v>
      </c>
      <c r="B16" s="14"/>
      <c r="C16" s="17" t="str">
        <f>HYPERLINK("https://www.fordfoundation.org/work/our-grants/idea-submission/","Ford Foundation")</f>
        <v>Ford Foundation</v>
      </c>
      <c r="D16" s="14" t="s">
        <v>64</v>
      </c>
      <c r="E16" s="14"/>
      <c r="F16" s="15" t="s">
        <v>65</v>
      </c>
      <c r="G16" s="18" t="s">
        <v>66</v>
      </c>
      <c r="H16" s="15" t="s">
        <v>68</v>
      </c>
      <c r="I16" s="14" t="s">
        <v>67</v>
      </c>
      <c r="J16" s="14"/>
    </row>
    <row r="17" spans="1:11" ht="31.2" x14ac:dyDescent="0.25">
      <c r="A17" s="14"/>
      <c r="B17" s="14"/>
      <c r="C17" s="17" t="str">
        <f>HYPERLINK("https://www.wkkf.org/grantseekers","Kellogg")</f>
        <v>Kellogg</v>
      </c>
      <c r="D17" s="14" t="s">
        <v>69</v>
      </c>
      <c r="E17" s="14"/>
      <c r="F17" s="15" t="s">
        <v>70</v>
      </c>
      <c r="G17" s="15" t="s">
        <v>71</v>
      </c>
      <c r="H17" s="15" t="s">
        <v>73</v>
      </c>
      <c r="I17" s="15"/>
      <c r="J17" s="15" t="s">
        <v>72</v>
      </c>
    </row>
    <row r="18" spans="1:11" ht="31.2" x14ac:dyDescent="0.25">
      <c r="A18" s="14"/>
      <c r="B18" s="14"/>
      <c r="C18" s="17" t="str">
        <f>HYPERLINK("https://www.matson.com/community/index.html","Matson Foundation")</f>
        <v>Matson Foundation</v>
      </c>
      <c r="D18" s="14" t="s">
        <v>74</v>
      </c>
      <c r="E18" s="14" t="s">
        <v>78</v>
      </c>
      <c r="F18" s="21" t="s">
        <v>75</v>
      </c>
      <c r="G18" s="15" t="s">
        <v>76</v>
      </c>
      <c r="H18" s="14"/>
      <c r="I18" s="15"/>
      <c r="J18" s="15" t="s">
        <v>77</v>
      </c>
    </row>
    <row r="19" spans="1:11" ht="46.8" x14ac:dyDescent="0.25">
      <c r="A19" s="15" t="s">
        <v>79</v>
      </c>
      <c r="B19" s="14"/>
      <c r="C19" s="17" t="str">
        <f>HYPERLINK("https://voicesforhealthykids.org/grant-opportunities/","Voices for Healthy Kids")</f>
        <v>Voices for Healthy Kids</v>
      </c>
      <c r="D19" s="14" t="s">
        <v>80</v>
      </c>
      <c r="E19" s="14" t="s">
        <v>84</v>
      </c>
      <c r="F19" s="15" t="s">
        <v>81</v>
      </c>
      <c r="G19" s="15" t="s">
        <v>82</v>
      </c>
      <c r="H19" s="15" t="s">
        <v>85</v>
      </c>
      <c r="I19" s="15"/>
      <c r="J19" s="15" t="s">
        <v>83</v>
      </c>
    </row>
    <row r="20" spans="1:11" ht="31.2" x14ac:dyDescent="0.25">
      <c r="A20" s="14"/>
      <c r="B20" s="14"/>
      <c r="C20" s="15" t="s">
        <v>86</v>
      </c>
      <c r="D20" s="22" t="s">
        <v>87</v>
      </c>
      <c r="E20" s="14" t="s">
        <v>84</v>
      </c>
      <c r="F20" s="15" t="s">
        <v>88</v>
      </c>
      <c r="G20" s="15" t="s">
        <v>89</v>
      </c>
      <c r="H20" s="15" t="s">
        <v>91</v>
      </c>
      <c r="I20" s="15"/>
      <c r="J20" s="15" t="s">
        <v>90</v>
      </c>
    </row>
    <row r="21" spans="1:11" ht="46.8" x14ac:dyDescent="0.25">
      <c r="A21" s="16">
        <v>44144</v>
      </c>
      <c r="B21" s="16">
        <v>44183</v>
      </c>
      <c r="C21" s="15" t="s">
        <v>92</v>
      </c>
      <c r="D21" s="22" t="s">
        <v>93</v>
      </c>
      <c r="E21" s="14" t="s">
        <v>84</v>
      </c>
      <c r="F21" s="15" t="s">
        <v>94</v>
      </c>
      <c r="G21" s="15" t="s">
        <v>95</v>
      </c>
      <c r="H21" s="15" t="s">
        <v>97</v>
      </c>
      <c r="I21" s="15"/>
      <c r="J21" s="15" t="s">
        <v>96</v>
      </c>
      <c r="K21" s="37"/>
    </row>
    <row r="22" spans="1:11" ht="31.2" x14ac:dyDescent="0.25">
      <c r="A22" s="14"/>
      <c r="B22" s="14"/>
      <c r="C22" s="17" t="str">
        <f>HYPERLINK("https://nsc.submittable.com/submit/129665/2019-road-to-zero-safe-system-innovation-grants","Road to Zero 2019")</f>
        <v>Road to Zero 2019</v>
      </c>
      <c r="D22" s="14" t="s">
        <v>98</v>
      </c>
      <c r="E22" s="14" t="s">
        <v>102</v>
      </c>
      <c r="F22" s="14" t="s">
        <v>99</v>
      </c>
      <c r="G22" s="15" t="s">
        <v>100</v>
      </c>
      <c r="H22" s="15" t="s">
        <v>103</v>
      </c>
      <c r="I22" s="15"/>
      <c r="J22" s="15" t="s">
        <v>101</v>
      </c>
      <c r="K22" s="37"/>
    </row>
    <row r="23" spans="1:11" ht="46.8" x14ac:dyDescent="0.25">
      <c r="A23" s="16">
        <v>44256</v>
      </c>
      <c r="B23" s="16">
        <v>44286</v>
      </c>
      <c r="C23" s="15" t="s">
        <v>104</v>
      </c>
      <c r="D23" s="14" t="s">
        <v>105</v>
      </c>
      <c r="E23" s="14" t="s">
        <v>109</v>
      </c>
      <c r="F23" s="15" t="s">
        <v>106</v>
      </c>
      <c r="G23" s="15" t="s">
        <v>107</v>
      </c>
      <c r="H23" s="23" t="s">
        <v>110</v>
      </c>
      <c r="I23" s="15"/>
      <c r="J23" s="15" t="s">
        <v>108</v>
      </c>
      <c r="K23" s="37"/>
    </row>
    <row r="24" spans="1:11" ht="109.2" x14ac:dyDescent="0.25">
      <c r="A24" s="14"/>
      <c r="B24" s="16">
        <v>44372</v>
      </c>
      <c r="C24" s="15" t="s">
        <v>111</v>
      </c>
      <c r="D24" s="14" t="s">
        <v>112</v>
      </c>
      <c r="E24" s="14"/>
      <c r="F24" s="14" t="s">
        <v>113</v>
      </c>
      <c r="G24" s="15" t="s">
        <v>114</v>
      </c>
      <c r="H24" s="14" t="s">
        <v>115</v>
      </c>
      <c r="I24" s="14" t="s">
        <v>299</v>
      </c>
      <c r="J24" s="14"/>
      <c r="K24" s="37"/>
    </row>
    <row r="25" spans="1:11" ht="46.8" x14ac:dyDescent="0.25">
      <c r="A25" s="14"/>
      <c r="B25" s="14"/>
      <c r="C25" s="24" t="str">
        <f>HYPERLINK("https://kresge.org/programs/arts-culture/increase-creative-capacity-shape-healthier-neighborhoods","Kresge")</f>
        <v>Kresge</v>
      </c>
      <c r="D25" s="14" t="s">
        <v>116</v>
      </c>
      <c r="E25" s="15" t="s">
        <v>119</v>
      </c>
      <c r="F25" s="15" t="s">
        <v>117</v>
      </c>
      <c r="G25" s="15" t="s">
        <v>71</v>
      </c>
      <c r="H25" s="15" t="s">
        <v>120</v>
      </c>
      <c r="I25" s="15"/>
      <c r="J25" s="15" t="s">
        <v>118</v>
      </c>
      <c r="K25" s="37"/>
    </row>
    <row r="26" spans="1:11" ht="62.4" x14ac:dyDescent="0.25">
      <c r="A26" s="14" t="s">
        <v>121</v>
      </c>
      <c r="B26" s="14"/>
      <c r="C26" s="24" t="str">
        <f>HYPERLINK("https://www.360adventurecollective.org/360-adventure-collective-grant-program","360 Adventure Collective")</f>
        <v>360 Adventure Collective</v>
      </c>
      <c r="D26" s="14" t="s">
        <v>122</v>
      </c>
      <c r="E26" s="25" t="s">
        <v>78</v>
      </c>
      <c r="F26" s="14" t="s">
        <v>123</v>
      </c>
      <c r="G26" s="15" t="s">
        <v>124</v>
      </c>
      <c r="H26" s="14" t="s">
        <v>126</v>
      </c>
      <c r="I26" s="15" t="s">
        <v>125</v>
      </c>
      <c r="J26" s="15"/>
      <c r="K26" s="37"/>
    </row>
    <row r="27" spans="1:11" ht="31.2" x14ac:dyDescent="0.25">
      <c r="A27" s="14"/>
      <c r="B27" s="14"/>
      <c r="C27" s="24" t="str">
        <f>HYPERLINK("https://www.llbean.com/llb/shop/516899?page=guidelines-how-to-apply","L.L. Bean Community Fund")</f>
        <v>L.L. Bean Community Fund</v>
      </c>
      <c r="D27" s="14" t="s">
        <v>127</v>
      </c>
      <c r="E27" s="25" t="s">
        <v>131</v>
      </c>
      <c r="F27" s="15" t="s">
        <v>128</v>
      </c>
      <c r="G27" s="14" t="s">
        <v>129</v>
      </c>
      <c r="H27" s="14" t="s">
        <v>132</v>
      </c>
      <c r="I27" s="15"/>
      <c r="J27" s="15" t="s">
        <v>130</v>
      </c>
      <c r="K27" s="37"/>
    </row>
    <row r="28" spans="1:11" ht="31.2" x14ac:dyDescent="0.25">
      <c r="A28" s="16">
        <v>44151</v>
      </c>
      <c r="B28" s="16">
        <v>44199</v>
      </c>
      <c r="C28" s="24" t="str">
        <f>HYPERLINK("https://www.railstotrails.org/our-work/grants/doppelt/application/","Doppelt Family Trail Development Fund, Rails to Trails Conserveny")</f>
        <v>Doppelt Family Trail Development Fund, Rails to Trails Conserveny</v>
      </c>
      <c r="D28" s="14" t="s">
        <v>133</v>
      </c>
      <c r="E28" s="14" t="s">
        <v>84</v>
      </c>
      <c r="F28" s="15" t="s">
        <v>134</v>
      </c>
      <c r="G28" s="15" t="s">
        <v>135</v>
      </c>
      <c r="H28" s="15" t="s">
        <v>137</v>
      </c>
      <c r="I28" s="15"/>
      <c r="J28" s="15" t="s">
        <v>136</v>
      </c>
      <c r="K28" s="37"/>
    </row>
    <row r="29" spans="1:11" ht="46.8" x14ac:dyDescent="0.25">
      <c r="A29" s="14"/>
      <c r="B29" s="14">
        <v>2019</v>
      </c>
      <c r="C29" s="24" t="str">
        <f>HYPERLINK("https://www.planetbike.com/planet-bike-awards-over-25000-supporting-13-advocacy-groups-across-the-u-s/","Planet Bike")</f>
        <v>Planet Bike</v>
      </c>
      <c r="D29" s="14" t="s">
        <v>138</v>
      </c>
      <c r="E29" s="15" t="s">
        <v>142</v>
      </c>
      <c r="F29" s="15" t="s">
        <v>139</v>
      </c>
      <c r="G29" s="14" t="s">
        <v>140</v>
      </c>
      <c r="H29" s="14" t="s">
        <v>143</v>
      </c>
      <c r="I29" s="15"/>
      <c r="J29" s="15" t="s">
        <v>141</v>
      </c>
    </row>
    <row r="30" spans="1:11" ht="31.2" x14ac:dyDescent="0.25">
      <c r="A30" s="16">
        <v>44227</v>
      </c>
      <c r="B30" s="16">
        <v>44592</v>
      </c>
      <c r="C30" s="15" t="s">
        <v>144</v>
      </c>
      <c r="D30" s="14" t="s">
        <v>145</v>
      </c>
      <c r="E30" s="15"/>
      <c r="F30" s="15" t="s">
        <v>146</v>
      </c>
      <c r="G30" s="15" t="s">
        <v>147</v>
      </c>
      <c r="H30" s="15" t="s">
        <v>149</v>
      </c>
      <c r="I30" s="15"/>
      <c r="J30" s="15" t="s">
        <v>148</v>
      </c>
    </row>
    <row r="31" spans="1:11" ht="46.8" x14ac:dyDescent="0.25">
      <c r="A31" s="16">
        <v>44378</v>
      </c>
      <c r="B31" s="16">
        <v>44423</v>
      </c>
      <c r="C31" s="15" t="s">
        <v>150</v>
      </c>
      <c r="D31" s="14" t="s">
        <v>151</v>
      </c>
      <c r="E31" s="26" t="s">
        <v>84</v>
      </c>
      <c r="F31" s="15" t="s">
        <v>152</v>
      </c>
      <c r="G31" s="15" t="s">
        <v>71</v>
      </c>
      <c r="H31" s="15" t="s">
        <v>154</v>
      </c>
      <c r="I31" s="15"/>
      <c r="J31" s="15" t="s">
        <v>153</v>
      </c>
    </row>
    <row r="32" spans="1:11" ht="31.2" x14ac:dyDescent="0.25">
      <c r="A32" s="14"/>
      <c r="B32" s="14" t="s">
        <v>155</v>
      </c>
      <c r="C32" s="17" t="str">
        <f>HYPERLINK("https://www.grantinterface.com/Home/Logon?urlkey=bankhawaii","BOH Map Money")</f>
        <v>BOH Map Money</v>
      </c>
      <c r="D32" s="14" t="s">
        <v>156</v>
      </c>
      <c r="E32" s="14" t="s">
        <v>160</v>
      </c>
      <c r="F32" s="15" t="s">
        <v>157</v>
      </c>
      <c r="G32" s="15" t="s">
        <v>158</v>
      </c>
      <c r="H32" s="14" t="s">
        <v>161</v>
      </c>
      <c r="I32" s="15"/>
      <c r="J32" s="15" t="s">
        <v>159</v>
      </c>
    </row>
    <row r="33" spans="1:13" ht="46.8" x14ac:dyDescent="0.25">
      <c r="A33" s="15" t="s">
        <v>162</v>
      </c>
      <c r="B33" s="14" t="s">
        <v>163</v>
      </c>
      <c r="C33" s="15" t="s">
        <v>164</v>
      </c>
      <c r="D33" s="14" t="s">
        <v>165</v>
      </c>
      <c r="E33" s="14" t="s">
        <v>84</v>
      </c>
      <c r="F33" s="15" t="s">
        <v>166</v>
      </c>
      <c r="G33" s="15" t="s">
        <v>167</v>
      </c>
      <c r="H33" s="14" t="s">
        <v>169</v>
      </c>
      <c r="I33" s="15"/>
      <c r="J33" s="15" t="s">
        <v>168</v>
      </c>
    </row>
    <row r="34" spans="1:13" ht="46.8" x14ac:dyDescent="0.25">
      <c r="A34" s="14"/>
      <c r="B34" s="14" t="s">
        <v>170</v>
      </c>
      <c r="C34" s="17" t="str">
        <f>HYPERLINK("http://clifbarfamilyfoundation.org/Grants-Programs/Small-Grants","Clif Bar Family Foundation")</f>
        <v>Clif Bar Family Foundation</v>
      </c>
      <c r="D34" s="14" t="s">
        <v>171</v>
      </c>
      <c r="E34" s="14" t="s">
        <v>174</v>
      </c>
      <c r="F34" s="15" t="s">
        <v>172</v>
      </c>
      <c r="G34" s="15" t="s">
        <v>158</v>
      </c>
      <c r="H34" s="15" t="s">
        <v>175</v>
      </c>
      <c r="I34" s="15" t="s">
        <v>173</v>
      </c>
      <c r="J34" s="15"/>
    </row>
    <row r="35" spans="1:13" ht="62.4" x14ac:dyDescent="0.25">
      <c r="A35" s="14"/>
      <c r="B35" s="14" t="s">
        <v>176</v>
      </c>
      <c r="C35" s="15" t="s">
        <v>177</v>
      </c>
      <c r="D35" s="14" t="s">
        <v>178</v>
      </c>
      <c r="E35" s="14" t="s">
        <v>182</v>
      </c>
      <c r="F35" s="15" t="s">
        <v>179</v>
      </c>
      <c r="G35" s="15" t="s">
        <v>180</v>
      </c>
      <c r="H35" s="15" t="s">
        <v>183</v>
      </c>
      <c r="I35" s="15"/>
      <c r="J35" s="15" t="s">
        <v>181</v>
      </c>
    </row>
    <row r="36" spans="1:13" ht="93.6" x14ac:dyDescent="0.25">
      <c r="A36" s="14" t="s">
        <v>184</v>
      </c>
      <c r="B36" s="16">
        <v>44561</v>
      </c>
      <c r="C36" s="17" t="str">
        <f>HYPERLINK("https://corporate.homedepot.com/foundation/communityimpactgrants","Home Depot")</f>
        <v>Home Depot</v>
      </c>
      <c r="D36" s="14" t="s">
        <v>185</v>
      </c>
      <c r="E36" s="14" t="s">
        <v>188</v>
      </c>
      <c r="F36" s="14" t="s">
        <v>186</v>
      </c>
      <c r="G36" s="15" t="s">
        <v>71</v>
      </c>
      <c r="H36" s="15" t="s">
        <v>189</v>
      </c>
      <c r="I36" s="15"/>
      <c r="J36" s="15" t="s">
        <v>187</v>
      </c>
    </row>
    <row r="37" spans="1:13" ht="15.6" x14ac:dyDescent="0.25">
      <c r="A37" s="14"/>
      <c r="B37" s="14"/>
      <c r="C37" s="15" t="s">
        <v>190</v>
      </c>
      <c r="D37" s="14" t="s">
        <v>191</v>
      </c>
      <c r="E37" s="14"/>
      <c r="F37" s="15" t="s">
        <v>192</v>
      </c>
      <c r="G37" s="14"/>
      <c r="H37" s="14" t="s">
        <v>194</v>
      </c>
      <c r="I37" s="15" t="s">
        <v>193</v>
      </c>
      <c r="J37" s="15"/>
      <c r="K37" s="38"/>
      <c r="L37" s="38"/>
      <c r="M37" s="38"/>
    </row>
    <row r="38" spans="1:13" ht="31.2" x14ac:dyDescent="0.25">
      <c r="A38" s="16" t="s">
        <v>195</v>
      </c>
      <c r="B38" s="16" t="s">
        <v>196</v>
      </c>
      <c r="C38" s="24" t="str">
        <f>HYPERLINK("https://www.patagonia.com/grant-guidelines.html","Patagonia Environmental Grant")</f>
        <v>Patagonia Environmental Grant</v>
      </c>
      <c r="D38" s="14" t="s">
        <v>197</v>
      </c>
      <c r="E38" s="14" t="s">
        <v>188</v>
      </c>
      <c r="F38" s="14" t="s">
        <v>198</v>
      </c>
      <c r="G38" s="15" t="s">
        <v>199</v>
      </c>
      <c r="H38" s="14" t="s">
        <v>201</v>
      </c>
      <c r="I38" s="15"/>
      <c r="J38" s="15" t="s">
        <v>200</v>
      </c>
      <c r="K38" s="38"/>
      <c r="L38" s="38"/>
      <c r="M38" s="38"/>
    </row>
    <row r="39" spans="1:13" ht="46.8" x14ac:dyDescent="0.25">
      <c r="A39" s="14"/>
      <c r="B39" s="14"/>
      <c r="C39" s="24" t="str">
        <f>HYPERLINK("https://www.hawaiitourismauthority.org/media/2780/hta-2019-community-programs-support.pdf","HTA Community Enriichment Programs")</f>
        <v>HTA Community Enriichment Programs</v>
      </c>
      <c r="D39" s="14" t="s">
        <v>202</v>
      </c>
      <c r="E39" s="14" t="s">
        <v>84</v>
      </c>
      <c r="F39" s="15" t="s">
        <v>203</v>
      </c>
      <c r="G39" s="15" t="s">
        <v>204</v>
      </c>
      <c r="H39" s="15" t="s">
        <v>206</v>
      </c>
      <c r="I39" s="15"/>
      <c r="J39" s="15" t="s">
        <v>205</v>
      </c>
    </row>
    <row r="40" spans="1:13" ht="15.6" x14ac:dyDescent="0.25">
      <c r="A40" s="27" t="s">
        <v>207</v>
      </c>
      <c r="B40" s="27" t="s">
        <v>208</v>
      </c>
      <c r="C40" s="18" t="s">
        <v>209</v>
      </c>
      <c r="D40" s="14" t="s">
        <v>210</v>
      </c>
      <c r="E40" s="14" t="s">
        <v>214</v>
      </c>
      <c r="F40" s="15" t="s">
        <v>211</v>
      </c>
      <c r="G40" s="15" t="s">
        <v>212</v>
      </c>
      <c r="H40" s="14"/>
      <c r="I40" s="15"/>
      <c r="J40" s="15" t="s">
        <v>213</v>
      </c>
    </row>
    <row r="41" spans="1:13" ht="78" x14ac:dyDescent="0.25">
      <c r="A41" s="14"/>
      <c r="B41" s="14" t="s">
        <v>215</v>
      </c>
      <c r="C41" s="18" t="s">
        <v>216</v>
      </c>
      <c r="D41" s="14" t="s">
        <v>217</v>
      </c>
      <c r="E41" s="14" t="s">
        <v>221</v>
      </c>
      <c r="F41" s="15" t="s">
        <v>218</v>
      </c>
      <c r="G41" s="15" t="s">
        <v>219</v>
      </c>
      <c r="H41" s="15" t="s">
        <v>222</v>
      </c>
      <c r="I41" s="15"/>
      <c r="J41" s="15" t="s">
        <v>220</v>
      </c>
    </row>
    <row r="42" spans="1:13" ht="31.2" x14ac:dyDescent="0.25">
      <c r="A42" s="14"/>
      <c r="B42" s="14"/>
      <c r="C42" s="18" t="s">
        <v>223</v>
      </c>
      <c r="D42" s="14" t="s">
        <v>224</v>
      </c>
      <c r="E42" s="25" t="s">
        <v>228</v>
      </c>
      <c r="F42" s="15" t="s">
        <v>225</v>
      </c>
      <c r="G42" s="18" t="s">
        <v>226</v>
      </c>
      <c r="H42" s="15" t="s">
        <v>229</v>
      </c>
      <c r="I42" s="15" t="s">
        <v>227</v>
      </c>
      <c r="J42" s="15"/>
    </row>
    <row r="43" spans="1:13" ht="31.2" x14ac:dyDescent="0.25">
      <c r="A43" s="14"/>
      <c r="B43" s="14"/>
      <c r="C43" s="18" t="s">
        <v>230</v>
      </c>
      <c r="D43" s="14" t="s">
        <v>231</v>
      </c>
      <c r="E43" s="14" t="s">
        <v>235</v>
      </c>
      <c r="F43" s="15" t="s">
        <v>232</v>
      </c>
      <c r="G43" s="18" t="s">
        <v>233</v>
      </c>
      <c r="H43" s="15" t="s">
        <v>236</v>
      </c>
      <c r="I43" s="15"/>
      <c r="J43" s="15" t="s">
        <v>234</v>
      </c>
    </row>
    <row r="44" spans="1:13" ht="31.2" x14ac:dyDescent="0.25">
      <c r="A44" s="14"/>
      <c r="B44" s="28" t="s">
        <v>237</v>
      </c>
      <c r="C44" s="25" t="s">
        <v>238</v>
      </c>
      <c r="D44" s="14" t="s">
        <v>239</v>
      </c>
      <c r="E44" s="14" t="s">
        <v>243</v>
      </c>
      <c r="F44" s="18" t="s">
        <v>240</v>
      </c>
      <c r="G44" s="15" t="s">
        <v>241</v>
      </c>
      <c r="H44" s="14" t="s">
        <v>244</v>
      </c>
      <c r="I44" s="15"/>
      <c r="J44" s="15" t="s">
        <v>242</v>
      </c>
      <c r="K44" s="38"/>
    </row>
    <row r="45" spans="1:13" ht="31.2" x14ac:dyDescent="0.25">
      <c r="A45" s="14" t="s">
        <v>245</v>
      </c>
      <c r="B45" s="14" t="s">
        <v>246</v>
      </c>
      <c r="C45" s="15" t="s">
        <v>247</v>
      </c>
      <c r="D45" s="14" t="s">
        <v>248</v>
      </c>
      <c r="E45" s="25" t="s">
        <v>252</v>
      </c>
      <c r="F45" s="18" t="s">
        <v>249</v>
      </c>
      <c r="G45" s="18" t="s">
        <v>250</v>
      </c>
      <c r="H45" s="15" t="s">
        <v>253</v>
      </c>
      <c r="I45" s="15"/>
      <c r="J45" s="15" t="s">
        <v>251</v>
      </c>
    </row>
    <row r="47" spans="1:13" ht="13.95" customHeight="1" x14ac:dyDescent="0.25">
      <c r="A47" s="57" t="s">
        <v>303</v>
      </c>
      <c r="B47" s="57"/>
      <c r="C47" s="57"/>
      <c r="D47" s="57"/>
      <c r="E47" s="57"/>
      <c r="F47" s="57"/>
      <c r="G47" s="57"/>
      <c r="H47" s="57"/>
      <c r="I47" s="57"/>
      <c r="J47" s="57"/>
    </row>
  </sheetData>
  <autoFilter ref="A4:J4" xr:uid="{F950C3DD-6019-47D9-B060-AD33E08FB47E}"/>
  <mergeCells count="4">
    <mergeCell ref="A2:C2"/>
    <mergeCell ref="A47:J47"/>
    <mergeCell ref="A1:J1"/>
    <mergeCell ref="A3:J3"/>
  </mergeCells>
  <hyperlinks>
    <hyperlink ref="C8" r:id="rId1" xr:uid="{A40957B1-353F-45B1-AB95-4F13DF8D151E}"/>
    <hyperlink ref="C11" r:id="rId2" xr:uid="{18AC8D06-C8A9-49D0-8EE9-F830430A11F1}"/>
    <hyperlink ref="C12" r:id="rId3" xr:uid="{5E29C807-7F0F-4BFC-9B7B-4C511BE4EDEB}"/>
    <hyperlink ref="C6" r:id="rId4" xr:uid="{D471E68D-D324-4713-B1C7-FDCC15655BB4}"/>
    <hyperlink ref="G6" r:id="rId5" xr:uid="{983A1C33-CEC3-4677-9990-756A56004B81}"/>
    <hyperlink ref="G8" r:id="rId6" xr:uid="{309E6A9B-6A3F-4F45-B186-A579213E67A0}"/>
    <hyperlink ref="H8" r:id="rId7" xr:uid="{C176E44A-C25E-401C-99F6-438EC26C6214}"/>
    <hyperlink ref="G10" r:id="rId8" xr:uid="{93786DF7-06C1-4A7F-86D8-37FE3687D699}"/>
    <hyperlink ref="G11" r:id="rId9" xr:uid="{97E5415B-08A7-465D-9815-01D4A87EB381}"/>
    <hyperlink ref="I11" r:id="rId10" location="community" xr:uid="{72E49AA2-4830-4464-8844-BE1CA4612993}"/>
    <hyperlink ref="G12" r:id="rId11" xr:uid="{4D7D67FF-952D-4112-B787-EA3E8D70DB63}"/>
    <hyperlink ref="G13" r:id="rId12" xr:uid="{A281816E-A930-4A41-A4F3-025A7CCB4D52}"/>
    <hyperlink ref="C13" r:id="rId13" xr:uid="{96BA2C6E-2FF5-4F59-A22A-1324A4E35A18}"/>
    <hyperlink ref="G14" r:id="rId14" xr:uid="{E704DE42-74F3-4D86-99FC-D0910666E1F1}"/>
    <hyperlink ref="H14" r:id="rId15" xr:uid="{46236376-06D2-4D6A-A49B-F1F1E4948652}"/>
    <hyperlink ref="G15" r:id="rId16" xr:uid="{DFAD37FD-C155-4EBF-8086-BA32CCDF598F}"/>
    <hyperlink ref="H16" r:id="rId17" xr:uid="{69CB2CAB-BC2D-4958-A5FA-EC8D9DA90823}"/>
    <hyperlink ref="G17" r:id="rId18" xr:uid="{23FB2226-3240-4401-B92C-EFD09E384487}"/>
    <hyperlink ref="H17" r:id="rId19" xr:uid="{3C9FDC2D-8A45-4DB4-813A-96BAD83A3269}"/>
    <hyperlink ref="G18" r:id="rId20" xr:uid="{4680027D-5A91-4299-96A0-1E9E150032F0}"/>
    <hyperlink ref="A19" r:id="rId21" xr:uid="{F112CB34-E95B-40BC-9A49-DA0EA5084F8A}"/>
    <hyperlink ref="G19" r:id="rId22" xr:uid="{6BF50A35-8ABC-4BC3-924B-CBB52AF86F03}"/>
    <hyperlink ref="H19" r:id="rId23" xr:uid="{73A35D71-CAB0-4F82-8E64-C4FDC8F28FB0}"/>
    <hyperlink ref="G22" r:id="rId24" xr:uid="{B7A1B1D5-0759-4B1E-9FE9-36B197E0130B}"/>
    <hyperlink ref="H22" r:id="rId25" xr:uid="{B2EDB48C-9B42-491A-81B5-95F642F1AD24}"/>
    <hyperlink ref="C23" r:id="rId26" xr:uid="{D0964BF2-62C2-488B-851F-8615C0705B3B}"/>
    <hyperlink ref="G23" r:id="rId27" xr:uid="{BAD4B66C-F0DE-42BD-8BBE-8531B18918DA}"/>
    <hyperlink ref="H25" r:id="rId28" xr:uid="{C87829F2-046A-4E43-B8F4-467C98C92630}"/>
    <hyperlink ref="G25" r:id="rId29" location="details" xr:uid="{6A1E8A7C-F6B7-44C4-978E-7A7B3F0C3F1C}"/>
    <hyperlink ref="H28" r:id="rId30" xr:uid="{F2FFAD18-EE75-4FDD-A622-A6CC0EEB84AF}"/>
    <hyperlink ref="G28" r:id="rId31" xr:uid="{C4B58642-F822-444B-A11B-F7757E907988}"/>
    <hyperlink ref="C30" r:id="rId32" xr:uid="{507716E0-9999-444A-A5C5-0E05D256E4E5}"/>
    <hyperlink ref="G30" r:id="rId33" xr:uid="{9198F314-42EE-4090-811F-CD839ED83C94}"/>
    <hyperlink ref="H30" r:id="rId34" xr:uid="{798EB613-834B-481F-A105-970EC0BD01A7}"/>
    <hyperlink ref="C31" r:id="rId35" xr:uid="{8A204747-C913-4214-A652-9CD16BB8F7F0}"/>
    <hyperlink ref="G31" r:id="rId36" xr:uid="{477BC5CB-35D6-4570-B3F4-01F23D3E2E44}"/>
    <hyperlink ref="H31" r:id="rId37" xr:uid="{D242E8E7-76AE-4B33-A7BE-9229F55153AC}"/>
    <hyperlink ref="G32" r:id="rId38" xr:uid="{D7CCFAA2-0BAB-4BCF-8362-A88DABBED06F}"/>
    <hyperlink ref="C33" r:id="rId39" xr:uid="{9AE37B3B-4F9A-411A-B0E1-056A76483A1B}"/>
    <hyperlink ref="G33" r:id="rId40" xr:uid="{236AB4A7-61BB-49D3-9F9D-1CA244C2BF7E}"/>
    <hyperlink ref="G34" r:id="rId41" xr:uid="{1FCE5962-BE97-4A2E-99BE-B285B04D54D8}"/>
    <hyperlink ref="H34" r:id="rId42" xr:uid="{9C52359B-F296-428A-82E7-06894171D9A4}"/>
    <hyperlink ref="I34" r:id="rId43" xr:uid="{B44DF996-89AD-4D56-8CB8-F14D0CB87B5E}"/>
    <hyperlink ref="C35" r:id="rId44" xr:uid="{611F4092-FCC2-47B2-9CE7-5264408C72B1}"/>
    <hyperlink ref="G35" r:id="rId45" xr:uid="{C2A46E54-B26E-43AB-B77C-025696146C9B}"/>
    <hyperlink ref="H35" r:id="rId46" xr:uid="{DEDA16C9-D222-4A4A-B2D4-E20298F43037}"/>
    <hyperlink ref="G36" r:id="rId47" xr:uid="{BF57318A-CFA9-4B0B-8E2B-5A0A7F7C3632}"/>
    <hyperlink ref="H36" r:id="rId48" xr:uid="{198FB7AC-3F35-4B1A-AB7B-D2231020A186}"/>
    <hyperlink ref="G38" r:id="rId49" xr:uid="{9894411C-09CF-4A98-8F78-9EC837907504}"/>
    <hyperlink ref="G39" r:id="rId50" xr:uid="{72906656-86CF-4C6A-82E1-E0E65694E16E}"/>
    <hyperlink ref="H39" r:id="rId51" xr:uid="{11CC837A-6880-4F36-AB3C-73EF03A44E2A}"/>
    <hyperlink ref="C5" r:id="rId52" xr:uid="{2AC8B65D-6057-4651-816E-B3E86F6E6FB9}"/>
    <hyperlink ref="H5" r:id="rId53" xr:uid="{31FCED85-8497-4408-AE75-74AE50381130}"/>
    <hyperlink ref="G5" r:id="rId54" xr:uid="{C07CD1C4-C14D-4B12-B1B5-AEFE147BE5FB}"/>
    <hyperlink ref="C24" r:id="rId55" xr:uid="{9397575A-84EB-484C-BC27-26397A196621}"/>
    <hyperlink ref="G24" r:id="rId56" xr:uid="{A94AAF24-BE47-4BF0-9BE5-4AB41EA1FA50}"/>
    <hyperlink ref="I26" r:id="rId57" xr:uid="{9A2F1982-B278-41AD-9E77-948E3FB10A62}"/>
    <hyperlink ref="C9" r:id="rId58" xr:uid="{00463AE7-6858-4731-8E7B-02B0C2743E4E}"/>
    <hyperlink ref="H9" r:id="rId59" xr:uid="{971EED86-CE65-4634-A3BF-1277AF392D37}"/>
    <hyperlink ref="C20" r:id="rId60" xr:uid="{DE62474C-D21B-449D-B8BD-9764A12A31FB}"/>
    <hyperlink ref="G20" r:id="rId61" xr:uid="{18FA8C73-4F7E-473B-A59E-37A1CD102DBF}"/>
    <hyperlink ref="H20" r:id="rId62" xr:uid="{FC2D46A8-DEB2-448D-90ED-50CE1FD8A293}"/>
    <hyperlink ref="C21" r:id="rId63" xr:uid="{282F2821-72AF-42AA-8A73-D29D450B7F03}"/>
    <hyperlink ref="G21" r:id="rId64" xr:uid="{A7B8B7D9-DE32-460A-BA4A-A3E72C5DE085}"/>
    <hyperlink ref="H21" r:id="rId65" xr:uid="{6513F872-E4B2-4F9A-8FFA-ED72F4659F03}"/>
    <hyperlink ref="C37" r:id="rId66" xr:uid="{8203B84C-3AEB-4C56-A2B3-893A32D63C9F}"/>
    <hyperlink ref="I37" r:id="rId67" xr:uid="{057E7A76-7CF6-4423-9403-B20169DE00E9}"/>
    <hyperlink ref="F5" r:id="rId68" xr:uid="{7256E579-51B4-474D-B956-372ACA84A12A}"/>
    <hyperlink ref="F6" r:id="rId69" xr:uid="{50613EC7-DF8C-4F4C-B16A-5850DC3788F2}"/>
    <hyperlink ref="H6" r:id="rId70" xr:uid="{5D33BD04-ED90-41EA-81F2-0C773A83F799}"/>
    <hyperlink ref="G7" r:id="rId71" xr:uid="{06598A07-F2C0-4293-86B2-BAA3D69B64A7}"/>
    <hyperlink ref="F7" r:id="rId72" xr:uid="{74AA475A-C421-4AA9-9D7E-BBCDFFAC109E}"/>
    <hyperlink ref="F8" r:id="rId73" xr:uid="{1A75AC3F-43CF-4E72-A75A-B61F54CE5355}"/>
    <hyperlink ref="G9" r:id="rId74" xr:uid="{8B41B226-5E20-48B0-BF02-E4432E76F1B4}"/>
    <hyperlink ref="F9" r:id="rId75" xr:uid="{502F3DAC-D136-4CD4-8808-FEEDCC989960}"/>
    <hyperlink ref="F10" r:id="rId76" xr:uid="{A30315A4-B925-4C18-9062-F84C0E25E369}"/>
    <hyperlink ref="F11" r:id="rId77" xr:uid="{E6666F17-1F18-4424-A30A-89DC4B055EB9}"/>
    <hyperlink ref="F12" r:id="rId78" xr:uid="{E6848DE2-4B88-432D-BB2E-170CE46C04E8}"/>
    <hyperlink ref="F15" r:id="rId79" xr:uid="{A8FCA7DD-1FEA-4D7A-9971-7800A267C46B}"/>
    <hyperlink ref="F16" r:id="rId80" xr:uid="{C4A883B9-9918-4F81-9D81-2829BEB37EAB}"/>
    <hyperlink ref="G16" r:id="rId81" xr:uid="{14B3B350-2141-4E2D-BBE4-59AD77473F7A}"/>
    <hyperlink ref="F17" r:id="rId82" location="pp=10&amp;p=5" xr:uid="{AAD60163-21B9-43CF-9A2C-E905786D850E}"/>
    <hyperlink ref="F18" r:id="rId83" xr:uid="{72AEB336-0C18-43C0-9A5F-36030C44BE91}"/>
    <hyperlink ref="F19" r:id="rId84" xr:uid="{B8840DC9-D671-403D-86B9-163CF7FFAF22}"/>
    <hyperlink ref="F20" r:id="rId85" xr:uid="{0543F22A-27AD-4C1F-BC02-499A3A20F386}"/>
    <hyperlink ref="F21" r:id="rId86" xr:uid="{67761658-C1E1-461B-ADA8-81063969FD51}"/>
    <hyperlink ref="F23" r:id="rId87" xr:uid="{8B10F4AB-25B9-4F28-8B6E-CDD54D30C1D9}"/>
    <hyperlink ref="F25" r:id="rId88" location="main-content" xr:uid="{B6E10640-BE29-41FA-80FF-9E7365E7384F}"/>
    <hyperlink ref="G26" r:id="rId89" xr:uid="{EF63E580-1143-4585-A477-26D372F264F3}"/>
    <hyperlink ref="F27" r:id="rId90" xr:uid="{88EC1B39-7C8A-4830-8819-A68889A6E1B5}"/>
    <hyperlink ref="F28" r:id="rId91" xr:uid="{65B68DAB-FD20-430B-A1FE-E8F908BF928B}"/>
    <hyperlink ref="F29" r:id="rId92" xr:uid="{451F7DBF-EBDE-4BC9-A443-811B136E712B}"/>
    <hyperlink ref="F30" r:id="rId93" xr:uid="{F37EE7D0-5C4F-4BF5-99F7-D578009CC402}"/>
    <hyperlink ref="F31" r:id="rId94" xr:uid="{B4926BA6-E350-4D3A-8E0C-3935E832FB5B}"/>
    <hyperlink ref="F32" r:id="rId95" xr:uid="{74A32D45-54A5-4411-99C8-BAAAE993141C}"/>
    <hyperlink ref="A33" r:id="rId96" xr:uid="{BDFA23D9-C01B-4A84-AD84-6E880486560D}"/>
    <hyperlink ref="F33" r:id="rId97" xr:uid="{980CE13F-8BB8-413A-8248-A56CF249D175}"/>
    <hyperlink ref="F34" r:id="rId98" xr:uid="{FFFBFC57-BD29-4D37-889C-CD9ECED7D321}"/>
    <hyperlink ref="F35" r:id="rId99" xr:uid="{FADE26DE-5992-4307-AA0D-B26B6BD42297}"/>
    <hyperlink ref="F37" r:id="rId100" xr:uid="{A5A64031-9A09-43FC-9F6F-9B417CE0397C}"/>
    <hyperlink ref="F39" r:id="rId101" xr:uid="{D5222946-26F0-43DA-988B-7D7916C657B3}"/>
    <hyperlink ref="G40" r:id="rId102" xr:uid="{61640218-1E22-483C-A2FE-DBB90FF9A8E8}"/>
    <hyperlink ref="F40" r:id="rId103" xr:uid="{A6BB5A45-E8BD-4C25-85AB-FB35C6A54FFE}"/>
    <hyperlink ref="C40" r:id="rId104" xr:uid="{6B4EADCE-D6DD-4A7B-83E8-3AADA674AFBD}"/>
    <hyperlink ref="H41" r:id="rId105" xr:uid="{6CADA224-E8BA-4A4E-963F-90963DB89A1E}"/>
    <hyperlink ref="G41" r:id="rId106" xr:uid="{F33E4A3D-6F60-4876-8209-7C684A3E83FB}"/>
    <hyperlink ref="C41" r:id="rId107" xr:uid="{23C60E82-B11E-4105-A962-823B68555344}"/>
    <hyperlink ref="F41" r:id="rId108" xr:uid="{0C1784F4-BE6D-4A38-9581-472E17F73BE1}"/>
    <hyperlink ref="F42" r:id="rId109" xr:uid="{97D6ED0F-A21B-4E70-9466-C8AA21956606}"/>
    <hyperlink ref="F43" r:id="rId110" xr:uid="{A008D41D-715F-4B97-86B6-FD3D9D84F914}"/>
    <hyperlink ref="C42" r:id="rId111" xr:uid="{108D2C2F-E9A9-4748-B441-C16B32EBFB14}"/>
    <hyperlink ref="G42" r:id="rId112" xr:uid="{79E73644-77C5-4B25-993C-9BA5E66D5366}"/>
    <hyperlink ref="I42" r:id="rId113" xr:uid="{BBC10643-9361-43E5-97F5-108C3AB5B2A3}"/>
    <hyperlink ref="H42" r:id="rId114" xr:uid="{5EA40709-AF76-4800-AB14-8B166D655130}"/>
    <hyperlink ref="C43" r:id="rId115" xr:uid="{0800BB1F-6F53-4506-9D76-68C34B65035C}"/>
    <hyperlink ref="G43" r:id="rId116" xr:uid="{DED21100-F66F-4523-AD2D-250D433BA5C8}"/>
    <hyperlink ref="H43" r:id="rId117" xr:uid="{7661E9FF-CD5C-46FC-BC84-B59B1EDC3C4B}"/>
    <hyperlink ref="G44" r:id="rId118" xr:uid="{72242952-5CE4-41B0-9ED8-91AC721299B2}"/>
    <hyperlink ref="F44" r:id="rId119" xr:uid="{1E696C11-C8F2-467A-87B3-4AACA07752A1}"/>
    <hyperlink ref="C45" r:id="rId120" xr:uid="{4CC68047-A3D0-48D5-823A-29CBC4CA0CD1}"/>
    <hyperlink ref="H45" r:id="rId121" xr:uid="{BF5E3D90-4C30-4C69-9296-B2510CFE000D}"/>
    <hyperlink ref="G45" r:id="rId122" xr:uid="{6CCF830A-0D62-4BB1-92B4-6FB5F52793F4}"/>
    <hyperlink ref="F45" r:id="rId123" xr:uid="{2F53E364-E90B-47ED-9CEF-CF58A45D735F}"/>
    <hyperlink ref="A2:C2" r:id="rId124" display="Grants to Projects Bridge Homepage" xr:uid="{B38CF638-161D-47C9-BF54-9AC9F5A8C058}"/>
    <hyperlink ref="E25" r:id="rId125" location="main-content" xr:uid="{80EF7AF3-0808-414F-BA7B-71DDFE6BEE46}"/>
    <hyperlink ref="E29" r:id="rId126" xr:uid="{5D7B6028-082D-4912-A1B1-091DBE93B464}"/>
    <hyperlink ref="J6" r:id="rId127" xr:uid="{44DE79E4-4C50-4A36-8700-EBD97855035B}"/>
    <hyperlink ref="J7" r:id="rId128" xr:uid="{F08D8722-DB45-4B77-9395-A44E168D508D}"/>
    <hyperlink ref="J8" r:id="rId129" xr:uid="{6070BA8D-60D9-4767-A972-1F51EB1DD07D}"/>
    <hyperlink ref="J10" r:id="rId130" xr:uid="{8C195863-7F14-49F6-95F1-9ED32E8E494A}"/>
    <hyperlink ref="J12" r:id="rId131" xr:uid="{5781144A-45ED-4251-A1FC-F82C7EB86FB7}"/>
    <hyperlink ref="J13" r:id="rId132" xr:uid="{FEA12DD4-BA45-4B84-8F19-281EAD9029D8}"/>
    <hyperlink ref="J14" r:id="rId133" xr:uid="{FA64D9BC-8CE1-45E8-9D49-DD4822365F40}"/>
    <hyperlink ref="J17" r:id="rId134" xr:uid="{D43317B3-F479-4D4A-A470-AC6D050D9A90}"/>
    <hyperlink ref="J18" r:id="rId135" xr:uid="{96663020-8AC8-4B0E-9A41-7EC5509AFCB0}"/>
    <hyperlink ref="J19" r:id="rId136" xr:uid="{E2CD6525-F598-4FDE-B76A-261D0BBBD47D}"/>
    <hyperlink ref="J22" r:id="rId137" xr:uid="{5D7DC125-9BBA-44F3-AA2B-EBDD6F3F6A32}"/>
    <hyperlink ref="J23" r:id="rId138" xr:uid="{D4E1DAF9-7166-45D2-BA26-004DA1548D01}"/>
    <hyperlink ref="J30" r:id="rId139" xr:uid="{888E6A67-4B30-442D-BD20-5F4AFBB778E4}"/>
    <hyperlink ref="J31" r:id="rId140" xr:uid="{850FA00A-B877-41C0-BDE4-3BE54A722BAF}"/>
    <hyperlink ref="J32" r:id="rId141" xr:uid="{57657F6F-DCA1-42C1-97CA-CC099DDC7898}"/>
    <hyperlink ref="J33" r:id="rId142" xr:uid="{A7558F0B-E7FC-4005-9295-5AA45A2BC4D4}"/>
    <hyperlink ref="J35" r:id="rId143" xr:uid="{6E296A94-F685-466A-B2B4-97BAA5979827}"/>
    <hyperlink ref="J36" r:id="rId144" xr:uid="{FF58E0C6-8264-4AC9-BCC9-982779A93327}"/>
    <hyperlink ref="J38" r:id="rId145" xr:uid="{287A7048-6609-4D0C-8C20-D181A0019EE9}"/>
    <hyperlink ref="J39" r:id="rId146" xr:uid="{EE324A8D-027B-4B14-B387-47F2099DC916}"/>
    <hyperlink ref="J25" r:id="rId147" xr:uid="{6E151F30-7A2F-48F0-9EF8-C5DFEEAD6083}"/>
    <hyperlink ref="J27" r:id="rId148" xr:uid="{141385C3-FAE9-45A0-91EB-27E584C0F03D}"/>
    <hyperlink ref="J28" r:id="rId149" xr:uid="{938DE14A-1E07-4749-AA5B-9CF3C2BB8EA5}"/>
    <hyperlink ref="J29" r:id="rId150" xr:uid="{AF64284E-0856-46C0-B557-69C9861A1652}"/>
    <hyperlink ref="J9" r:id="rId151" xr:uid="{9C445D21-8153-4541-A0E4-1BB1F8BDCF1D}"/>
    <hyperlink ref="J20" r:id="rId152" xr:uid="{FD6E4128-56B6-4154-ABF1-1167C106B186}"/>
    <hyperlink ref="J21" r:id="rId153" xr:uid="{F32CC164-62EE-4317-BEC1-EE9B637B81CE}"/>
    <hyperlink ref="J40" r:id="rId154" xr:uid="{E910ABF4-6166-4736-996A-7C4EDD1E5554}"/>
    <hyperlink ref="J41" r:id="rId155" xr:uid="{32D29041-C76C-4FF9-BE67-BF9292986FE2}"/>
    <hyperlink ref="J43" r:id="rId156" xr:uid="{223B5D62-0EF9-4E55-A56E-3408D77D1F1B}"/>
    <hyperlink ref="J44" r:id="rId157" xr:uid="{DB0B7FD8-76C5-4332-80E5-184997821556}"/>
    <hyperlink ref="J45" r:id="rId158" xr:uid="{366B9623-5387-4D1D-B749-A7480567A636}"/>
  </hyperlinks>
  <pageMargins left="0.7" right="0.7" top="0.75" bottom="0.75" header="0.3" footer="0.3"/>
  <pageSetup orientation="portrait" r:id="rId1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topLeftCell="C1" zoomScaleNormal="100" workbookViewId="0">
      <pane ySplit="4" topLeftCell="A5" activePane="bottomLeft" state="frozen"/>
      <selection pane="bottomLeft" sqref="A1:I1"/>
    </sheetView>
  </sheetViews>
  <sheetFormatPr defaultColWidth="12.69921875" defaultRowHeight="13.8" x14ac:dyDescent="0.25"/>
  <cols>
    <col min="1" max="1" width="11.69921875" style="1" customWidth="1"/>
    <col min="2" max="2" width="12.69921875" style="1" customWidth="1"/>
    <col min="3" max="3" width="21.5" style="1" customWidth="1"/>
    <col min="4" max="4" width="45.19921875" style="1" customWidth="1"/>
    <col min="5" max="6" width="16.69921875" style="1" customWidth="1"/>
    <col min="7" max="7" width="24" style="1" customWidth="1"/>
    <col min="8" max="8" width="28.19921875" style="1" customWidth="1"/>
    <col min="9" max="9" width="24" style="1" customWidth="1"/>
    <col min="10" max="10" width="18.3984375" style="1" customWidth="1"/>
    <col min="11" max="11" width="20" style="1" customWidth="1"/>
    <col min="12" max="26" width="7.69921875" style="1" customWidth="1"/>
    <col min="27" max="16384" width="12.69921875" style="1"/>
  </cols>
  <sheetData>
    <row r="1" spans="1:12" ht="28.2" customHeight="1" x14ac:dyDescent="0.25">
      <c r="A1" s="63" t="s">
        <v>300</v>
      </c>
      <c r="B1" s="64"/>
      <c r="C1" s="64"/>
      <c r="D1" s="64"/>
      <c r="E1" s="64"/>
      <c r="F1" s="64"/>
      <c r="G1" s="64"/>
      <c r="H1" s="64"/>
      <c r="I1" s="65"/>
    </row>
    <row r="2" spans="1:12" ht="28.2" customHeight="1" x14ac:dyDescent="0.25">
      <c r="A2" s="54" t="s">
        <v>301</v>
      </c>
      <c r="B2" s="55"/>
      <c r="C2" s="56"/>
      <c r="D2" s="3"/>
      <c r="E2" s="3"/>
      <c r="F2" s="3"/>
      <c r="G2" s="2"/>
      <c r="H2" s="39"/>
      <c r="I2" s="40"/>
    </row>
    <row r="3" spans="1:12" ht="4.2" customHeight="1" x14ac:dyDescent="0.25">
      <c r="A3" s="66"/>
      <c r="B3" s="66"/>
      <c r="C3" s="66"/>
      <c r="D3" s="66"/>
      <c r="E3" s="66"/>
      <c r="F3" s="66"/>
      <c r="G3" s="66"/>
      <c r="H3" s="66"/>
      <c r="I3" s="67"/>
    </row>
    <row r="4" spans="1:12" ht="28.2" customHeight="1" x14ac:dyDescent="0.25">
      <c r="A4" s="4" t="s">
        <v>254</v>
      </c>
      <c r="B4" s="4" t="s">
        <v>255</v>
      </c>
      <c r="C4" s="4" t="s">
        <v>256</v>
      </c>
      <c r="D4" s="4" t="s">
        <v>0</v>
      </c>
      <c r="E4" s="5" t="s">
        <v>1</v>
      </c>
      <c r="F4" s="4" t="s">
        <v>257</v>
      </c>
      <c r="G4" s="5" t="s">
        <v>258</v>
      </c>
      <c r="H4" s="5" t="s">
        <v>289</v>
      </c>
      <c r="I4" s="4" t="s">
        <v>305</v>
      </c>
    </row>
    <row r="5" spans="1:12" ht="46.8" x14ac:dyDescent="0.25">
      <c r="A5" s="6"/>
      <c r="B5" s="7" t="s">
        <v>259</v>
      </c>
      <c r="C5" s="8" t="s">
        <v>260</v>
      </c>
      <c r="D5" s="9" t="s">
        <v>312</v>
      </c>
      <c r="E5" s="6" t="s">
        <v>262</v>
      </c>
      <c r="F5" s="10" t="s">
        <v>261</v>
      </c>
      <c r="G5" s="11" t="s">
        <v>263</v>
      </c>
      <c r="H5" s="6"/>
      <c r="I5" s="10" t="s">
        <v>264</v>
      </c>
      <c r="L5" s="31"/>
    </row>
    <row r="6" spans="1:12" ht="93.6" x14ac:dyDescent="0.25">
      <c r="A6" s="6"/>
      <c r="B6" s="6"/>
      <c r="C6" s="12" t="s">
        <v>272</v>
      </c>
      <c r="D6" s="7" t="s">
        <v>273</v>
      </c>
      <c r="E6" s="6" t="s">
        <v>262</v>
      </c>
      <c r="F6" s="6"/>
      <c r="G6" s="6"/>
      <c r="H6" s="6"/>
      <c r="I6" s="12" t="s">
        <v>274</v>
      </c>
      <c r="L6" s="31"/>
    </row>
    <row r="7" spans="1:12" ht="46.8" x14ac:dyDescent="0.25">
      <c r="A7" s="7" t="s">
        <v>265</v>
      </c>
      <c r="B7" s="6" t="s">
        <v>266</v>
      </c>
      <c r="C7" s="8" t="s">
        <v>267</v>
      </c>
      <c r="D7" s="9" t="s">
        <v>313</v>
      </c>
      <c r="E7" s="7" t="s">
        <v>262</v>
      </c>
      <c r="F7" s="12" t="s">
        <v>268</v>
      </c>
      <c r="G7" s="12" t="s">
        <v>269</v>
      </c>
      <c r="H7" s="7" t="s">
        <v>271</v>
      </c>
      <c r="I7" s="12" t="s">
        <v>270</v>
      </c>
      <c r="L7" s="31"/>
    </row>
    <row r="8" spans="1:12" ht="28.2" customHeight="1" x14ac:dyDescent="0.25">
      <c r="A8" s="63" t="s">
        <v>331</v>
      </c>
      <c r="B8" s="64"/>
      <c r="C8" s="64"/>
      <c r="D8" s="64"/>
      <c r="E8" s="64"/>
      <c r="F8" s="64"/>
      <c r="G8" s="64"/>
      <c r="H8" s="64"/>
      <c r="I8" s="65"/>
      <c r="J8" s="53"/>
      <c r="L8" s="31"/>
    </row>
    <row r="9" spans="1:12" s="37" customFormat="1" ht="156" x14ac:dyDescent="0.25">
      <c r="A9" s="43"/>
      <c r="B9" s="43" t="s">
        <v>314</v>
      </c>
      <c r="C9" s="44" t="s">
        <v>317</v>
      </c>
      <c r="D9" s="43" t="s">
        <v>318</v>
      </c>
      <c r="E9" s="43" t="s">
        <v>329</v>
      </c>
      <c r="F9" s="45" t="s">
        <v>316</v>
      </c>
      <c r="G9" s="46" t="s">
        <v>319</v>
      </c>
      <c r="H9" s="43" t="s">
        <v>315</v>
      </c>
      <c r="I9" s="44" t="s">
        <v>320</v>
      </c>
      <c r="J9" s="50"/>
      <c r="L9" s="41"/>
    </row>
    <row r="10" spans="1:12" ht="62.4" x14ac:dyDescent="0.25">
      <c r="A10" s="6"/>
      <c r="B10" s="6"/>
      <c r="C10" s="11" t="s">
        <v>275</v>
      </c>
      <c r="D10" s="13" t="s">
        <v>276</v>
      </c>
      <c r="E10" s="6" t="s">
        <v>329</v>
      </c>
      <c r="F10" s="12" t="s">
        <v>277</v>
      </c>
      <c r="G10" s="6"/>
      <c r="H10" s="12" t="s">
        <v>278</v>
      </c>
      <c r="I10" s="42" t="s">
        <v>321</v>
      </c>
      <c r="J10" s="52"/>
      <c r="L10" s="31"/>
    </row>
    <row r="11" spans="1:12" ht="62.4" x14ac:dyDescent="0.25">
      <c r="A11" s="6"/>
      <c r="B11" s="6"/>
      <c r="C11" s="12" t="s">
        <v>279</v>
      </c>
      <c r="D11" s="7" t="s">
        <v>280</v>
      </c>
      <c r="E11" s="6" t="s">
        <v>329</v>
      </c>
      <c r="F11" s="12" t="s">
        <v>281</v>
      </c>
      <c r="G11" s="6"/>
      <c r="H11" s="7" t="s">
        <v>328</v>
      </c>
      <c r="I11" s="12" t="s">
        <v>282</v>
      </c>
      <c r="J11" s="51"/>
    </row>
    <row r="12" spans="1:12" ht="140.4" x14ac:dyDescent="0.25">
      <c r="A12" s="6"/>
      <c r="B12" s="6"/>
      <c r="C12" s="12" t="s">
        <v>283</v>
      </c>
      <c r="D12" s="7" t="s">
        <v>284</v>
      </c>
      <c r="E12" s="6" t="s">
        <v>330</v>
      </c>
      <c r="F12" s="12" t="s">
        <v>285</v>
      </c>
      <c r="G12" s="12" t="s">
        <v>322</v>
      </c>
      <c r="H12" s="7" t="s">
        <v>327</v>
      </c>
      <c r="I12" s="12" t="s">
        <v>286</v>
      </c>
      <c r="J12" s="48"/>
    </row>
    <row r="13" spans="1:12" ht="109.2" x14ac:dyDescent="0.25">
      <c r="A13" s="6"/>
      <c r="B13" s="6"/>
      <c r="C13" s="11" t="s">
        <v>323</v>
      </c>
      <c r="D13" s="13" t="s">
        <v>287</v>
      </c>
      <c r="E13" s="6" t="s">
        <v>329</v>
      </c>
      <c r="F13" s="12" t="s">
        <v>324</v>
      </c>
      <c r="G13" s="6"/>
      <c r="H13" s="47" t="s">
        <v>326</v>
      </c>
      <c r="I13" s="12" t="s">
        <v>325</v>
      </c>
      <c r="J13" s="49"/>
    </row>
    <row r="15" spans="1:12" x14ac:dyDescent="0.25">
      <c r="A15" s="57" t="s">
        <v>307</v>
      </c>
      <c r="B15" s="57"/>
      <c r="C15" s="57"/>
      <c r="D15" s="57"/>
      <c r="E15" s="57"/>
      <c r="F15" s="57"/>
      <c r="G15" s="57"/>
      <c r="H15" s="57"/>
    </row>
    <row r="16" spans="1:12" ht="13.95" customHeight="1" x14ac:dyDescent="0.25">
      <c r="A16" s="57" t="s">
        <v>303</v>
      </c>
      <c r="B16" s="57"/>
      <c r="C16" s="57"/>
      <c r="D16" s="57"/>
      <c r="E16" s="57"/>
      <c r="F16" s="57"/>
      <c r="G16" s="57"/>
      <c r="H16" s="57"/>
      <c r="I16" s="57"/>
    </row>
  </sheetData>
  <autoFilter ref="A4:I4" xr:uid="{AB7B39E5-0D8A-4A5E-BF81-43D1C37BCE84}"/>
  <mergeCells count="6">
    <mergeCell ref="A1:I1"/>
    <mergeCell ref="A3:I3"/>
    <mergeCell ref="A2:C2"/>
    <mergeCell ref="A16:I16"/>
    <mergeCell ref="A15:H15"/>
    <mergeCell ref="A8:I8"/>
  </mergeCells>
  <hyperlinks>
    <hyperlink ref="G5" r:id="rId1" xr:uid="{B0F8D432-E9C8-4AC7-8A71-A0CEBF44628F}"/>
    <hyperlink ref="I5" r:id="rId2" xr:uid="{AB6A3DF1-370C-4283-8482-8E1C7BAB07B3}"/>
    <hyperlink ref="F5" r:id="rId3" xr:uid="{C802ED62-665F-41F8-98DC-0D9EAA5F794C}"/>
    <hyperlink ref="G7" r:id="rId4" xr:uid="{04C269F5-1C47-4C50-97B2-5BF99AF5E2D9}"/>
    <hyperlink ref="F7" r:id="rId5" xr:uid="{63BF8076-3421-41B0-8978-E4F281640222}"/>
    <hyperlink ref="C7" r:id="rId6" xr:uid="{21396A64-DDC4-4DD6-B44D-0AB14BA22C51}"/>
    <hyperlink ref="C5" r:id="rId7" xr:uid="{F44F3606-124A-4D59-8A0C-87C5B53BD57D}"/>
    <hyperlink ref="C12" r:id="rId8" xr:uid="{2F839CE6-6373-4270-A9BE-FE755EE2EE8A}"/>
    <hyperlink ref="C9" r:id="rId9" xr:uid="{879D2412-8557-4703-A103-4220E48FF82E}"/>
    <hyperlink ref="I9" r:id="rId10" xr:uid="{E5BBB204-1E77-47D0-AE53-21AD8B31FEEC}"/>
    <hyperlink ref="C10" r:id="rId11" xr:uid="{7EB59940-B80A-41E1-9E9B-B5A82ED447FF}"/>
    <hyperlink ref="I11" r:id="rId12" xr:uid="{A1A3B523-D25A-4E4C-A1CF-64D8F1484A2A}"/>
    <hyperlink ref="F11" r:id="rId13" xr:uid="{4D2A2E95-DE29-4B58-9969-8DBAC4F90086}"/>
    <hyperlink ref="I12" r:id="rId14" xr:uid="{E7FBF029-89B3-4328-9D65-A3410341B3C3}"/>
    <hyperlink ref="C13" r:id="rId15" xr:uid="{DEB4DBED-1997-44E2-9D7B-F25D125C0344}"/>
    <hyperlink ref="F12" r:id="rId16" xr:uid="{37986268-45CC-4E26-AF99-C1C8F8766A37}"/>
    <hyperlink ref="F13" r:id="rId17" xr:uid="{A9E56B56-435F-415D-91DA-8BB2564DE815}"/>
    <hyperlink ref="I13" r:id="rId18" xr:uid="{9BB4AFF6-174E-4880-BB8D-2913F376AE89}"/>
    <hyperlink ref="F10" r:id="rId19" xr:uid="{CA050CCF-84BE-449C-B129-FB924EDDA340}"/>
    <hyperlink ref="A2:C2" r:id="rId20" display="Grants to Projects Bridge Homepage" xr:uid="{03EEE85A-228D-4BA7-8FA1-E72A1B0E34DB}"/>
    <hyperlink ref="I7" r:id="rId21" xr:uid="{7FB9D032-2CCF-4E87-9A91-8F069C571B77}"/>
    <hyperlink ref="G9" r:id="rId22" xr:uid="{67B15CCB-44E7-4BDF-B41A-7BA6FC6A9AFC}"/>
    <hyperlink ref="F9" r:id="rId23" xr:uid="{EE969DE7-FDA1-45C2-9143-87F8C1171F19}"/>
    <hyperlink ref="I10" r:id="rId24" xr:uid="{B4B3A294-D1A4-4208-AC93-1505EBFA369F}"/>
    <hyperlink ref="G12" r:id="rId25" xr:uid="{05CE4127-2F88-4D4F-A677-E1F50B958249}"/>
    <hyperlink ref="H10" r:id="rId26" xr:uid="{8C2FEEFC-5280-4B5A-AB2A-FC4C13DF9227}"/>
    <hyperlink ref="C6" r:id="rId27" xr:uid="{96C277F9-06C2-4F88-977F-B0852A7F602D}"/>
    <hyperlink ref="I6" r:id="rId28" xr:uid="{10AE930B-CE8E-4213-A7D2-F58FBB1FBB7B}"/>
  </hyperlinks>
  <pageMargins left="0.7" right="0.7" top="0.75" bottom="0.75" header="0" footer="0"/>
  <pageSetup orientation="portrait"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23C6C-DE55-4F98-9A34-E0D2CC605930}">
  <dimension ref="A1:AJ329"/>
  <sheetViews>
    <sheetView tabSelected="1" workbookViewId="0">
      <selection activeCell="V3" sqref="V3"/>
    </sheetView>
  </sheetViews>
  <sheetFormatPr defaultRowHeight="13.8" x14ac:dyDescent="0.25"/>
  <cols>
    <col min="1" max="8" width="2.8984375" bestFit="1" customWidth="1"/>
    <col min="14" max="14" width="9" bestFit="1" customWidth="1"/>
    <col min="18" max="18" width="9.09765625" bestFit="1" customWidth="1"/>
    <col min="19" max="19" width="15.59765625" bestFit="1" customWidth="1"/>
    <col min="20" max="20" width="9.09765625" bestFit="1" customWidth="1"/>
    <col min="21" max="21" width="26.19921875" customWidth="1"/>
    <col min="26" max="26" width="10.5" bestFit="1" customWidth="1"/>
    <col min="27" max="28" width="9" bestFit="1" customWidth="1"/>
  </cols>
  <sheetData>
    <row r="1" spans="1:36" ht="21.6" customHeight="1" thickBot="1" x14ac:dyDescent="0.3">
      <c r="A1" s="97" t="s">
        <v>1405</v>
      </c>
      <c r="B1" s="98"/>
      <c r="C1" s="98"/>
      <c r="D1" s="98"/>
      <c r="E1" s="98"/>
      <c r="F1" s="98"/>
      <c r="G1" s="98"/>
      <c r="H1" s="98"/>
      <c r="I1" s="98"/>
      <c r="J1" s="98"/>
      <c r="K1" s="98"/>
      <c r="L1" s="98"/>
      <c r="M1" s="98"/>
      <c r="N1" s="98"/>
      <c r="O1" s="98"/>
      <c r="P1" s="98"/>
      <c r="Q1" s="98"/>
      <c r="R1" s="99"/>
      <c r="S1" s="63"/>
      <c r="T1" s="64"/>
      <c r="U1" s="64"/>
      <c r="V1" s="64"/>
      <c r="W1" s="64"/>
      <c r="X1" s="64"/>
      <c r="Y1" s="64"/>
      <c r="Z1" s="64"/>
      <c r="AA1" s="65"/>
      <c r="AB1" s="63"/>
      <c r="AC1" s="64"/>
      <c r="AD1" s="64"/>
      <c r="AE1" s="64"/>
      <c r="AF1" s="64"/>
      <c r="AG1" s="64"/>
      <c r="AH1" s="64"/>
      <c r="AI1" s="64"/>
      <c r="AJ1" s="65"/>
    </row>
    <row r="2" spans="1:36" ht="78.599999999999994" thickBot="1" x14ac:dyDescent="0.35">
      <c r="A2" s="68" t="s">
        <v>332</v>
      </c>
      <c r="B2" s="68" t="s">
        <v>333</v>
      </c>
      <c r="C2" s="68" t="s">
        <v>334</v>
      </c>
      <c r="D2" s="68" t="s">
        <v>335</v>
      </c>
      <c r="E2" s="68" t="s">
        <v>336</v>
      </c>
      <c r="F2" s="68" t="s">
        <v>337</v>
      </c>
      <c r="G2" s="68" t="s">
        <v>338</v>
      </c>
      <c r="H2" s="69" t="s">
        <v>339</v>
      </c>
      <c r="I2" s="70" t="s">
        <v>340</v>
      </c>
      <c r="J2" s="70" t="s">
        <v>341</v>
      </c>
      <c r="K2" s="70" t="s">
        <v>342</v>
      </c>
      <c r="L2" s="71" t="s">
        <v>343</v>
      </c>
      <c r="M2" s="70" t="s">
        <v>344</v>
      </c>
      <c r="N2" s="70" t="s">
        <v>345</v>
      </c>
      <c r="O2" s="70" t="s">
        <v>346</v>
      </c>
      <c r="P2" s="70" t="s">
        <v>347</v>
      </c>
      <c r="Q2" s="70" t="s">
        <v>348</v>
      </c>
      <c r="R2" s="71" t="s">
        <v>349</v>
      </c>
      <c r="S2" s="72" t="s">
        <v>350</v>
      </c>
      <c r="T2" s="73" t="s">
        <v>351</v>
      </c>
      <c r="U2" s="73" t="s">
        <v>0</v>
      </c>
      <c r="V2" s="70" t="s">
        <v>352</v>
      </c>
      <c r="W2" s="74" t="s">
        <v>353</v>
      </c>
      <c r="X2" s="74" t="s">
        <v>85</v>
      </c>
      <c r="Y2" s="74" t="s">
        <v>354</v>
      </c>
      <c r="Z2" s="74" t="s">
        <v>355</v>
      </c>
      <c r="AA2" s="74" t="s">
        <v>356</v>
      </c>
      <c r="AB2" s="74" t="s">
        <v>357</v>
      </c>
      <c r="AC2" s="74" t="s">
        <v>358</v>
      </c>
      <c r="AD2" s="75" t="s">
        <v>359</v>
      </c>
    </row>
    <row r="3" spans="1:36" ht="405.6" x14ac:dyDescent="0.3">
      <c r="A3" s="76"/>
      <c r="B3" s="76"/>
      <c r="C3" s="76" t="s">
        <v>360</v>
      </c>
      <c r="D3" s="76" t="s">
        <v>360</v>
      </c>
      <c r="E3" s="76"/>
      <c r="F3" s="76" t="s">
        <v>360</v>
      </c>
      <c r="G3" s="76"/>
      <c r="H3" s="77"/>
      <c r="I3" s="76" t="s">
        <v>361</v>
      </c>
      <c r="J3" s="76" t="s">
        <v>362</v>
      </c>
      <c r="K3" s="76" t="s">
        <v>363</v>
      </c>
      <c r="L3" s="76" t="s">
        <v>364</v>
      </c>
      <c r="M3" s="76" t="s">
        <v>365</v>
      </c>
      <c r="N3" s="76" t="s">
        <v>366</v>
      </c>
      <c r="O3" s="76" t="s">
        <v>367</v>
      </c>
      <c r="P3" s="76" t="s">
        <v>334</v>
      </c>
      <c r="Q3" s="76" t="s">
        <v>368</v>
      </c>
      <c r="R3" s="76" t="s">
        <v>369</v>
      </c>
      <c r="S3" s="78">
        <f>SUM(1000000000*5)</f>
        <v>5000000000</v>
      </c>
      <c r="T3" s="79">
        <v>46295</v>
      </c>
      <c r="U3" s="80" t="s">
        <v>370</v>
      </c>
      <c r="V3" s="76" t="s">
        <v>371</v>
      </c>
      <c r="W3" s="80"/>
      <c r="X3" s="80" t="s">
        <v>372</v>
      </c>
      <c r="Y3" s="80" t="s">
        <v>373</v>
      </c>
      <c r="Z3" s="80"/>
      <c r="AA3" s="76" t="s">
        <v>374</v>
      </c>
      <c r="AB3" s="80" t="s">
        <v>375</v>
      </c>
      <c r="AC3" s="80" t="s">
        <v>376</v>
      </c>
      <c r="AD3" s="81" t="s">
        <v>377</v>
      </c>
    </row>
    <row r="4" spans="1:36" ht="124.8" x14ac:dyDescent="0.3">
      <c r="A4" s="76"/>
      <c r="B4" s="76"/>
      <c r="C4" s="76" t="s">
        <v>360</v>
      </c>
      <c r="D4" s="76"/>
      <c r="E4" s="76"/>
      <c r="F4" s="76" t="s">
        <v>360</v>
      </c>
      <c r="G4" s="76"/>
      <c r="H4" s="77"/>
      <c r="I4" s="76" t="s">
        <v>361</v>
      </c>
      <c r="J4" s="76" t="s">
        <v>362</v>
      </c>
      <c r="K4" s="76" t="s">
        <v>363</v>
      </c>
      <c r="L4" s="76" t="s">
        <v>364</v>
      </c>
      <c r="M4" s="76" t="s">
        <v>378</v>
      </c>
      <c r="N4" s="76">
        <v>11522</v>
      </c>
      <c r="O4" s="76" t="s">
        <v>367</v>
      </c>
      <c r="P4" s="76" t="s">
        <v>334</v>
      </c>
      <c r="Q4" s="76"/>
      <c r="R4" s="76" t="s">
        <v>369</v>
      </c>
      <c r="S4" s="76"/>
      <c r="T4" s="79">
        <v>46295</v>
      </c>
      <c r="U4" s="80" t="s">
        <v>379</v>
      </c>
      <c r="V4" s="76" t="s">
        <v>371</v>
      </c>
      <c r="W4" s="80"/>
      <c r="X4" s="80" t="s">
        <v>380</v>
      </c>
      <c r="Y4" s="80"/>
      <c r="Z4" s="80"/>
      <c r="AA4" s="80"/>
      <c r="AB4" s="80"/>
      <c r="AC4" s="80"/>
      <c r="AD4" s="81"/>
    </row>
    <row r="5" spans="1:36" ht="218.4" x14ac:dyDescent="0.3">
      <c r="A5" s="76"/>
      <c r="B5" s="76"/>
      <c r="C5" s="76" t="s">
        <v>360</v>
      </c>
      <c r="D5" s="76"/>
      <c r="E5" s="76"/>
      <c r="F5" s="76" t="s">
        <v>360</v>
      </c>
      <c r="G5" s="76"/>
      <c r="H5" s="77"/>
      <c r="I5" s="76" t="s">
        <v>361</v>
      </c>
      <c r="J5" s="76" t="s">
        <v>362</v>
      </c>
      <c r="K5" s="76" t="s">
        <v>363</v>
      </c>
      <c r="L5" s="76" t="s">
        <v>364</v>
      </c>
      <c r="M5" s="76" t="s">
        <v>378</v>
      </c>
      <c r="N5" s="76">
        <v>11528</v>
      </c>
      <c r="O5" s="76" t="s">
        <v>367</v>
      </c>
      <c r="P5" s="76" t="s">
        <v>334</v>
      </c>
      <c r="Q5" s="76"/>
      <c r="R5" s="76" t="s">
        <v>369</v>
      </c>
      <c r="S5" s="78">
        <f>SUM(2000000*5)</f>
        <v>10000000</v>
      </c>
      <c r="T5" s="79">
        <v>46295</v>
      </c>
      <c r="U5" s="80" t="s">
        <v>381</v>
      </c>
      <c r="V5" s="76" t="s">
        <v>371</v>
      </c>
      <c r="W5" s="80"/>
      <c r="X5" s="80" t="s">
        <v>382</v>
      </c>
      <c r="Y5" s="80" t="s">
        <v>383</v>
      </c>
      <c r="Z5" s="82">
        <v>0.02</v>
      </c>
      <c r="AA5" s="76" t="s">
        <v>374</v>
      </c>
      <c r="AB5" s="82">
        <v>1</v>
      </c>
      <c r="AC5" s="80"/>
      <c r="AD5" s="81"/>
    </row>
    <row r="6" spans="1:36" ht="409.6" x14ac:dyDescent="0.3">
      <c r="A6" s="76"/>
      <c r="B6" s="76"/>
      <c r="C6" s="76"/>
      <c r="D6" s="76" t="s">
        <v>360</v>
      </c>
      <c r="E6" s="76"/>
      <c r="F6" s="76" t="s">
        <v>360</v>
      </c>
      <c r="G6" s="76"/>
      <c r="H6" s="77"/>
      <c r="I6" s="76" t="s">
        <v>361</v>
      </c>
      <c r="J6" s="76"/>
      <c r="K6" s="76" t="s">
        <v>384</v>
      </c>
      <c r="L6" s="76" t="s">
        <v>385</v>
      </c>
      <c r="M6" s="76"/>
      <c r="N6" s="76">
        <v>40804</v>
      </c>
      <c r="O6" s="76" t="s">
        <v>386</v>
      </c>
      <c r="P6" s="76" t="s">
        <v>387</v>
      </c>
      <c r="Q6" s="76"/>
      <c r="R6" s="76" t="s">
        <v>388</v>
      </c>
      <c r="S6" s="83">
        <v>2130000000</v>
      </c>
      <c r="T6" s="83"/>
      <c r="U6" s="80" t="s">
        <v>389</v>
      </c>
      <c r="V6" s="76"/>
      <c r="W6" s="80"/>
      <c r="X6" s="80" t="s">
        <v>390</v>
      </c>
      <c r="Y6" s="80" t="s">
        <v>391</v>
      </c>
      <c r="Z6" s="80"/>
      <c r="AA6" s="80"/>
      <c r="AB6" s="80"/>
      <c r="AC6" s="80"/>
      <c r="AD6" s="81"/>
    </row>
    <row r="7" spans="1:36" ht="409.6" x14ac:dyDescent="0.3">
      <c r="A7" s="76"/>
      <c r="B7" s="76"/>
      <c r="C7" s="76"/>
      <c r="D7" s="76" t="s">
        <v>360</v>
      </c>
      <c r="E7" s="76"/>
      <c r="F7" s="76" t="s">
        <v>360</v>
      </c>
      <c r="G7" s="76"/>
      <c r="H7" s="77"/>
      <c r="I7" s="76" t="s">
        <v>361</v>
      </c>
      <c r="J7" s="76" t="s">
        <v>392</v>
      </c>
      <c r="K7" s="76" t="s">
        <v>384</v>
      </c>
      <c r="L7" s="76" t="s">
        <v>385</v>
      </c>
      <c r="M7" s="76"/>
      <c r="N7" s="76">
        <v>40808</v>
      </c>
      <c r="O7" s="76" t="s">
        <v>393</v>
      </c>
      <c r="P7" s="76" t="s">
        <v>387</v>
      </c>
      <c r="Q7" s="76" t="s">
        <v>394</v>
      </c>
      <c r="R7" s="76" t="s">
        <v>395</v>
      </c>
      <c r="S7" s="83">
        <v>180000000</v>
      </c>
      <c r="T7" s="76" t="s">
        <v>396</v>
      </c>
      <c r="U7" s="80" t="s">
        <v>397</v>
      </c>
      <c r="V7" s="76" t="s">
        <v>371</v>
      </c>
      <c r="W7" s="80"/>
      <c r="X7" s="80" t="s">
        <v>390</v>
      </c>
      <c r="Y7" s="80" t="s">
        <v>398</v>
      </c>
      <c r="Z7" s="80"/>
      <c r="AA7" s="80"/>
      <c r="AB7" s="80"/>
      <c r="AC7" s="80" t="s">
        <v>399</v>
      </c>
      <c r="AD7" s="81" t="s">
        <v>400</v>
      </c>
    </row>
    <row r="8" spans="1:36" ht="78" x14ac:dyDescent="0.3">
      <c r="A8" s="76"/>
      <c r="B8" s="76"/>
      <c r="C8" s="76"/>
      <c r="D8" s="76" t="s">
        <v>360</v>
      </c>
      <c r="E8" s="76"/>
      <c r="F8" s="76"/>
      <c r="G8" s="76"/>
      <c r="H8" s="77"/>
      <c r="I8" s="76" t="s">
        <v>361</v>
      </c>
      <c r="J8" s="76"/>
      <c r="K8" s="76" t="s">
        <v>384</v>
      </c>
      <c r="L8" s="76" t="s">
        <v>401</v>
      </c>
      <c r="M8" s="76"/>
      <c r="N8" s="76">
        <v>40901</v>
      </c>
      <c r="O8" s="76" t="s">
        <v>402</v>
      </c>
      <c r="P8" s="76" t="s">
        <v>335</v>
      </c>
      <c r="Q8" s="76"/>
      <c r="R8" s="76" t="s">
        <v>388</v>
      </c>
      <c r="S8" s="83">
        <v>100000000</v>
      </c>
      <c r="T8" s="76"/>
      <c r="U8" s="80" t="s">
        <v>403</v>
      </c>
      <c r="V8" s="76"/>
      <c r="W8" s="80"/>
      <c r="X8" s="80"/>
      <c r="Y8" s="80"/>
      <c r="Z8" s="82">
        <v>0.03</v>
      </c>
      <c r="AA8" s="80"/>
      <c r="AB8" s="80"/>
      <c r="AC8" s="80"/>
      <c r="AD8" s="81"/>
    </row>
    <row r="9" spans="1:36" ht="78" x14ac:dyDescent="0.3">
      <c r="A9" s="76"/>
      <c r="B9" s="76"/>
      <c r="C9" s="76"/>
      <c r="D9" s="76" t="s">
        <v>360</v>
      </c>
      <c r="E9" s="76"/>
      <c r="F9" s="76" t="s">
        <v>360</v>
      </c>
      <c r="G9" s="76"/>
      <c r="H9" s="77"/>
      <c r="I9" s="76" t="s">
        <v>361</v>
      </c>
      <c r="J9" s="76"/>
      <c r="K9" s="76" t="s">
        <v>384</v>
      </c>
      <c r="L9" s="76" t="s">
        <v>401</v>
      </c>
      <c r="M9" s="76"/>
      <c r="N9" s="76">
        <v>40901</v>
      </c>
      <c r="O9" s="76" t="s">
        <v>402</v>
      </c>
      <c r="P9" s="76" t="s">
        <v>387</v>
      </c>
      <c r="Q9" s="76"/>
      <c r="R9" s="76" t="s">
        <v>388</v>
      </c>
      <c r="S9" s="83">
        <v>250000000</v>
      </c>
      <c r="T9" s="76"/>
      <c r="U9" s="80" t="s">
        <v>404</v>
      </c>
      <c r="V9" s="76"/>
      <c r="W9" s="80"/>
      <c r="X9" s="80"/>
      <c r="Y9" s="80"/>
      <c r="Z9" s="82">
        <v>0.03</v>
      </c>
      <c r="AA9" s="80"/>
      <c r="AB9" s="80"/>
      <c r="AC9" s="80"/>
      <c r="AD9" s="81"/>
    </row>
    <row r="10" spans="1:36" ht="409.6" x14ac:dyDescent="0.3">
      <c r="A10" s="76"/>
      <c r="B10" s="76"/>
      <c r="C10" s="76"/>
      <c r="D10" s="76" t="s">
        <v>360</v>
      </c>
      <c r="E10" s="76"/>
      <c r="F10" s="76" t="s">
        <v>360</v>
      </c>
      <c r="G10" s="76"/>
      <c r="H10" s="77"/>
      <c r="I10" s="76" t="s">
        <v>361</v>
      </c>
      <c r="J10" s="76"/>
      <c r="K10" s="76" t="s">
        <v>384</v>
      </c>
      <c r="L10" s="76" t="s">
        <v>401</v>
      </c>
      <c r="M10" s="76"/>
      <c r="N10" s="76" t="s">
        <v>405</v>
      </c>
      <c r="O10" s="76" t="s">
        <v>402</v>
      </c>
      <c r="P10" s="76" t="s">
        <v>387</v>
      </c>
      <c r="Q10" s="76"/>
      <c r="R10" s="76" t="s">
        <v>388</v>
      </c>
      <c r="S10" s="83">
        <v>100000000</v>
      </c>
      <c r="T10" s="76"/>
      <c r="U10" s="80" t="s">
        <v>406</v>
      </c>
      <c r="V10" s="76" t="s">
        <v>371</v>
      </c>
      <c r="W10" s="80" t="s">
        <v>407</v>
      </c>
      <c r="X10" s="80" t="s">
        <v>408</v>
      </c>
      <c r="Y10" s="80" t="s">
        <v>409</v>
      </c>
      <c r="Z10" s="82">
        <v>0.03</v>
      </c>
      <c r="AA10" s="80" t="s">
        <v>410</v>
      </c>
      <c r="AB10" s="80" t="s">
        <v>411</v>
      </c>
      <c r="AC10" s="80" t="s">
        <v>412</v>
      </c>
      <c r="AD10" s="81"/>
    </row>
    <row r="11" spans="1:36" ht="78" x14ac:dyDescent="0.3">
      <c r="A11" s="76"/>
      <c r="B11" s="76"/>
      <c r="C11" s="76"/>
      <c r="D11" s="76"/>
      <c r="E11" s="76"/>
      <c r="F11" s="76" t="s">
        <v>360</v>
      </c>
      <c r="G11" s="76"/>
      <c r="H11" s="77"/>
      <c r="I11" s="76"/>
      <c r="J11" s="76"/>
      <c r="K11" s="76" t="s">
        <v>413</v>
      </c>
      <c r="L11" s="76" t="s">
        <v>414</v>
      </c>
      <c r="M11" s="76" t="s">
        <v>415</v>
      </c>
      <c r="N11" s="76"/>
      <c r="O11" s="76" t="s">
        <v>416</v>
      </c>
      <c r="P11" s="76" t="s">
        <v>337</v>
      </c>
      <c r="Q11" s="76"/>
      <c r="R11" s="79"/>
      <c r="S11" s="83">
        <v>192000000</v>
      </c>
      <c r="T11" s="84"/>
      <c r="U11" s="80" t="s">
        <v>417</v>
      </c>
      <c r="V11" s="76"/>
      <c r="W11" s="80"/>
      <c r="X11" s="80"/>
      <c r="Y11" s="80"/>
      <c r="Z11" s="80"/>
      <c r="AA11" s="80"/>
      <c r="AB11" s="80"/>
      <c r="AC11" s="80"/>
      <c r="AD11" s="81"/>
    </row>
    <row r="12" spans="1:36" ht="409.6" x14ac:dyDescent="0.3">
      <c r="A12" s="76"/>
      <c r="B12" s="76"/>
      <c r="C12" s="76"/>
      <c r="D12" s="76" t="s">
        <v>360</v>
      </c>
      <c r="E12" s="76"/>
      <c r="F12" s="76" t="s">
        <v>360</v>
      </c>
      <c r="G12" s="76"/>
      <c r="H12" s="77"/>
      <c r="I12" s="76"/>
      <c r="J12" s="76"/>
      <c r="K12" s="76" t="s">
        <v>413</v>
      </c>
      <c r="L12" s="76" t="s">
        <v>414</v>
      </c>
      <c r="M12" s="76"/>
      <c r="N12" s="76" t="s">
        <v>418</v>
      </c>
      <c r="O12" s="76"/>
      <c r="P12" s="76" t="s">
        <v>419</v>
      </c>
      <c r="Q12" s="76"/>
      <c r="R12" s="79" t="s">
        <v>388</v>
      </c>
      <c r="S12" s="83">
        <v>739000000</v>
      </c>
      <c r="T12" s="84" t="s">
        <v>396</v>
      </c>
      <c r="U12" s="80" t="s">
        <v>420</v>
      </c>
      <c r="V12" s="76"/>
      <c r="W12" s="80"/>
      <c r="X12" s="80"/>
      <c r="Y12" s="80"/>
      <c r="Z12" s="80"/>
      <c r="AA12" s="80"/>
      <c r="AB12" s="80"/>
      <c r="AC12" s="80"/>
      <c r="AD12" s="81"/>
    </row>
    <row r="13" spans="1:36" ht="358.8" x14ac:dyDescent="0.3">
      <c r="A13" s="76"/>
      <c r="B13" s="76"/>
      <c r="C13" s="76"/>
      <c r="D13" s="76" t="s">
        <v>360</v>
      </c>
      <c r="E13" s="76"/>
      <c r="F13" s="76" t="s">
        <v>360</v>
      </c>
      <c r="G13" s="76"/>
      <c r="H13" s="77"/>
      <c r="I13" s="76"/>
      <c r="J13" s="76"/>
      <c r="K13" s="76" t="s">
        <v>413</v>
      </c>
      <c r="L13" s="76" t="s">
        <v>414</v>
      </c>
      <c r="M13" s="76"/>
      <c r="N13" s="76" t="s">
        <v>421</v>
      </c>
      <c r="O13" s="76"/>
      <c r="P13" s="76" t="s">
        <v>419</v>
      </c>
      <c r="Q13" s="76"/>
      <c r="R13" s="79"/>
      <c r="S13" s="83">
        <v>110000000</v>
      </c>
      <c r="T13" s="84" t="s">
        <v>396</v>
      </c>
      <c r="U13" s="80" t="s">
        <v>422</v>
      </c>
      <c r="V13" s="76"/>
      <c r="W13" s="80"/>
      <c r="X13" s="80"/>
      <c r="Y13" s="80"/>
      <c r="Z13" s="80"/>
      <c r="AA13" s="80"/>
      <c r="AB13" s="80"/>
      <c r="AC13" s="80"/>
      <c r="AD13" s="81"/>
    </row>
    <row r="14" spans="1:36" ht="124.8" x14ac:dyDescent="0.3">
      <c r="A14" s="76"/>
      <c r="B14" s="76"/>
      <c r="C14" s="76" t="s">
        <v>360</v>
      </c>
      <c r="D14" s="76" t="s">
        <v>360</v>
      </c>
      <c r="E14" s="76"/>
      <c r="F14" s="76"/>
      <c r="G14" s="76"/>
      <c r="H14" s="77"/>
      <c r="I14" s="76" t="s">
        <v>361</v>
      </c>
      <c r="J14" s="76" t="s">
        <v>362</v>
      </c>
      <c r="K14" s="76" t="s">
        <v>363</v>
      </c>
      <c r="L14" s="76" t="s">
        <v>364</v>
      </c>
      <c r="M14" s="76" t="s">
        <v>423</v>
      </c>
      <c r="N14" s="76" t="s">
        <v>424</v>
      </c>
      <c r="O14" s="76" t="s">
        <v>367</v>
      </c>
      <c r="P14" s="76" t="s">
        <v>425</v>
      </c>
      <c r="Q14" s="79" t="s">
        <v>426</v>
      </c>
      <c r="R14" s="79" t="s">
        <v>426</v>
      </c>
      <c r="S14" s="78">
        <v>0</v>
      </c>
      <c r="T14" s="79" t="s">
        <v>426</v>
      </c>
      <c r="U14" s="80" t="s">
        <v>427</v>
      </c>
      <c r="V14" s="76" t="s">
        <v>428</v>
      </c>
      <c r="W14" s="80"/>
      <c r="X14" s="80"/>
      <c r="Y14" s="80"/>
      <c r="Z14" s="80"/>
      <c r="AA14" s="80"/>
      <c r="AB14" s="80"/>
      <c r="AC14" s="80"/>
      <c r="AD14" s="81"/>
    </row>
    <row r="15" spans="1:36" ht="409.6" x14ac:dyDescent="0.3">
      <c r="A15" s="76"/>
      <c r="B15" s="76"/>
      <c r="C15" s="76"/>
      <c r="D15" s="76" t="s">
        <v>360</v>
      </c>
      <c r="E15" s="76"/>
      <c r="F15" s="76" t="s">
        <v>360</v>
      </c>
      <c r="G15" s="76"/>
      <c r="H15" s="77"/>
      <c r="I15" s="76" t="s">
        <v>361</v>
      </c>
      <c r="J15" s="76"/>
      <c r="K15" s="76" t="s">
        <v>384</v>
      </c>
      <c r="L15" s="76" t="s">
        <v>385</v>
      </c>
      <c r="M15" s="76"/>
      <c r="N15" s="76">
        <v>40801</v>
      </c>
      <c r="O15" s="76" t="s">
        <v>393</v>
      </c>
      <c r="P15" s="76" t="s">
        <v>387</v>
      </c>
      <c r="Q15" s="76" t="s">
        <v>429</v>
      </c>
      <c r="R15" s="76" t="s">
        <v>388</v>
      </c>
      <c r="S15" s="83">
        <v>250000000</v>
      </c>
      <c r="T15" s="79"/>
      <c r="U15" s="80" t="s">
        <v>430</v>
      </c>
      <c r="V15" s="76"/>
      <c r="W15" s="80"/>
      <c r="X15" s="80" t="s">
        <v>431</v>
      </c>
      <c r="Y15" s="80" t="s">
        <v>432</v>
      </c>
      <c r="Z15" s="80"/>
      <c r="AA15" s="80"/>
      <c r="AB15" s="80"/>
      <c r="AC15" s="80" t="s">
        <v>433</v>
      </c>
      <c r="AD15" s="81"/>
    </row>
    <row r="16" spans="1:36" ht="409.6" x14ac:dyDescent="0.3">
      <c r="A16" s="85"/>
      <c r="B16" s="85"/>
      <c r="C16" s="85"/>
      <c r="D16" s="85" t="s">
        <v>360</v>
      </c>
      <c r="E16" s="85"/>
      <c r="F16" s="85" t="s">
        <v>360</v>
      </c>
      <c r="G16" s="85"/>
      <c r="H16" s="86"/>
      <c r="I16" s="85" t="s">
        <v>361</v>
      </c>
      <c r="J16" s="85" t="s">
        <v>434</v>
      </c>
      <c r="K16" s="85" t="s">
        <v>384</v>
      </c>
      <c r="L16" s="85" t="s">
        <v>385</v>
      </c>
      <c r="M16" s="85"/>
      <c r="N16" s="85">
        <v>40803</v>
      </c>
      <c r="O16" s="85" t="s">
        <v>386</v>
      </c>
      <c r="P16" s="85" t="s">
        <v>387</v>
      </c>
      <c r="Q16" s="85"/>
      <c r="R16" s="85" t="s">
        <v>388</v>
      </c>
      <c r="S16" s="87">
        <v>3369200000</v>
      </c>
      <c r="T16" s="88">
        <v>46660</v>
      </c>
      <c r="U16" s="80" t="s">
        <v>435</v>
      </c>
      <c r="V16" s="85"/>
      <c r="W16" s="89"/>
      <c r="X16" s="89" t="s">
        <v>436</v>
      </c>
      <c r="Y16" s="89" t="s">
        <v>437</v>
      </c>
      <c r="Z16" s="89"/>
      <c r="AA16" s="89" t="s">
        <v>438</v>
      </c>
      <c r="AB16" s="89"/>
      <c r="AC16" s="89" t="s">
        <v>439</v>
      </c>
      <c r="AD16" s="90"/>
    </row>
    <row r="17" spans="1:30" ht="171.6" x14ac:dyDescent="0.3">
      <c r="A17" s="76"/>
      <c r="B17" s="76"/>
      <c r="C17" s="76"/>
      <c r="D17" s="76" t="s">
        <v>360</v>
      </c>
      <c r="E17" s="76"/>
      <c r="F17" s="76"/>
      <c r="G17" s="76"/>
      <c r="H17" s="77"/>
      <c r="I17" s="76" t="s">
        <v>361</v>
      </c>
      <c r="J17" s="76"/>
      <c r="K17" s="76" t="s">
        <v>384</v>
      </c>
      <c r="L17" s="76" t="s">
        <v>401</v>
      </c>
      <c r="M17" s="76"/>
      <c r="N17" s="76">
        <v>40901</v>
      </c>
      <c r="O17" s="76" t="s">
        <v>402</v>
      </c>
      <c r="P17" s="76" t="s">
        <v>335</v>
      </c>
      <c r="Q17" s="76" t="s">
        <v>440</v>
      </c>
      <c r="R17" s="76" t="s">
        <v>388</v>
      </c>
      <c r="S17" s="83">
        <v>400000000</v>
      </c>
      <c r="T17" s="76"/>
      <c r="U17" s="80" t="s">
        <v>441</v>
      </c>
      <c r="V17" s="76"/>
      <c r="W17" s="80"/>
      <c r="X17" s="80"/>
      <c r="Y17" s="80"/>
      <c r="Z17" s="82">
        <v>0.03</v>
      </c>
      <c r="AA17" s="80"/>
      <c r="AB17" s="80"/>
      <c r="AC17" s="80"/>
      <c r="AD17" s="81"/>
    </row>
    <row r="18" spans="1:30" ht="234" x14ac:dyDescent="0.3">
      <c r="A18" s="76"/>
      <c r="B18" s="76"/>
      <c r="C18" s="76"/>
      <c r="D18" s="76" t="s">
        <v>360</v>
      </c>
      <c r="E18" s="76"/>
      <c r="F18" s="76"/>
      <c r="G18" s="76"/>
      <c r="H18" s="77" t="s">
        <v>360</v>
      </c>
      <c r="I18" s="76" t="s">
        <v>361</v>
      </c>
      <c r="J18" s="76"/>
      <c r="K18" s="76" t="s">
        <v>442</v>
      </c>
      <c r="L18" s="76" t="s">
        <v>443</v>
      </c>
      <c r="M18" s="76"/>
      <c r="N18" s="76" t="s">
        <v>444</v>
      </c>
      <c r="O18" s="76" t="s">
        <v>416</v>
      </c>
      <c r="P18" s="76" t="s">
        <v>445</v>
      </c>
      <c r="Q18" s="76"/>
      <c r="R18" s="76" t="s">
        <v>446</v>
      </c>
      <c r="S18" s="83">
        <v>5000000</v>
      </c>
      <c r="T18" s="76" t="s">
        <v>396</v>
      </c>
      <c r="U18" s="80" t="s">
        <v>447</v>
      </c>
      <c r="V18" s="76" t="s">
        <v>371</v>
      </c>
      <c r="W18" s="80" t="s">
        <v>448</v>
      </c>
      <c r="X18" s="80"/>
      <c r="Y18" s="80"/>
      <c r="Z18" s="80"/>
      <c r="AA18" s="80"/>
      <c r="AB18" s="80"/>
      <c r="AC18" s="80"/>
      <c r="AD18" s="81"/>
    </row>
    <row r="19" spans="1:30" ht="409.6" x14ac:dyDescent="0.3">
      <c r="A19" s="76"/>
      <c r="B19" s="76"/>
      <c r="C19" s="76"/>
      <c r="D19" s="76" t="s">
        <v>360</v>
      </c>
      <c r="E19" s="76"/>
      <c r="F19" s="76"/>
      <c r="G19" s="76"/>
      <c r="H19" s="77"/>
      <c r="I19" s="76"/>
      <c r="J19" s="76"/>
      <c r="K19" s="76" t="s">
        <v>413</v>
      </c>
      <c r="L19" s="76" t="s">
        <v>449</v>
      </c>
      <c r="M19" s="76" t="s">
        <v>450</v>
      </c>
      <c r="N19" s="76" t="s">
        <v>451</v>
      </c>
      <c r="O19" s="76" t="s">
        <v>452</v>
      </c>
      <c r="P19" s="76" t="s">
        <v>335</v>
      </c>
      <c r="Q19" s="76"/>
      <c r="R19" s="79"/>
      <c r="S19" s="83">
        <v>11615000000</v>
      </c>
      <c r="T19" s="84" t="s">
        <v>396</v>
      </c>
      <c r="U19" s="80" t="s">
        <v>453</v>
      </c>
      <c r="V19" s="76"/>
      <c r="W19" s="80"/>
      <c r="X19" s="80"/>
      <c r="Y19" s="80"/>
      <c r="Z19" s="80"/>
      <c r="AA19" s="80"/>
      <c r="AB19" s="80"/>
      <c r="AC19" s="80" t="s">
        <v>454</v>
      </c>
      <c r="AD19" s="81"/>
    </row>
    <row r="20" spans="1:30" ht="124.8" x14ac:dyDescent="0.3">
      <c r="A20" s="76"/>
      <c r="B20" s="76"/>
      <c r="C20" s="76"/>
      <c r="D20" s="76" t="s">
        <v>360</v>
      </c>
      <c r="E20" s="76"/>
      <c r="F20" s="76"/>
      <c r="G20" s="76"/>
      <c r="H20" s="77"/>
      <c r="I20" s="76"/>
      <c r="J20" s="76"/>
      <c r="K20" s="76" t="s">
        <v>413</v>
      </c>
      <c r="L20" s="76" t="s">
        <v>449</v>
      </c>
      <c r="M20" s="76" t="s">
        <v>450</v>
      </c>
      <c r="N20" s="76" t="s">
        <v>455</v>
      </c>
      <c r="O20" s="76" t="s">
        <v>452</v>
      </c>
      <c r="P20" s="76" t="s">
        <v>335</v>
      </c>
      <c r="Q20" s="76"/>
      <c r="R20" s="79"/>
      <c r="S20" s="83">
        <v>251000000</v>
      </c>
      <c r="T20" s="84" t="s">
        <v>396</v>
      </c>
      <c r="U20" s="80" t="s">
        <v>456</v>
      </c>
      <c r="V20" s="76"/>
      <c r="W20" s="80"/>
      <c r="X20" s="80"/>
      <c r="Y20" s="80"/>
      <c r="Z20" s="80"/>
      <c r="AA20" s="80"/>
      <c r="AB20" s="80"/>
      <c r="AC20" s="80"/>
      <c r="AD20" s="81"/>
    </row>
    <row r="21" spans="1:30" ht="249.6" x14ac:dyDescent="0.3">
      <c r="A21" s="76"/>
      <c r="B21" s="76"/>
      <c r="C21" s="76"/>
      <c r="D21" s="76"/>
      <c r="E21" s="76"/>
      <c r="F21" s="76" t="s">
        <v>457</v>
      </c>
      <c r="G21" s="76"/>
      <c r="H21" s="77"/>
      <c r="I21" s="76"/>
      <c r="J21" s="76"/>
      <c r="K21" s="76" t="s">
        <v>413</v>
      </c>
      <c r="L21" s="76" t="s">
        <v>414</v>
      </c>
      <c r="M21" s="76" t="s">
        <v>458</v>
      </c>
      <c r="N21" s="76" t="s">
        <v>459</v>
      </c>
      <c r="O21" s="76" t="s">
        <v>460</v>
      </c>
      <c r="P21" s="76" t="s">
        <v>337</v>
      </c>
      <c r="Q21" s="76"/>
      <c r="R21" s="79"/>
      <c r="S21" s="83"/>
      <c r="T21" s="84"/>
      <c r="U21" s="80" t="s">
        <v>461</v>
      </c>
      <c r="V21" s="76"/>
      <c r="W21" s="80"/>
      <c r="X21" s="80"/>
      <c r="Y21" s="80"/>
      <c r="Z21" s="80"/>
      <c r="AA21" s="80"/>
      <c r="AB21" s="80"/>
      <c r="AC21" s="80"/>
      <c r="AD21" s="81"/>
    </row>
    <row r="22" spans="1:30" ht="358.8" x14ac:dyDescent="0.3">
      <c r="A22" s="76"/>
      <c r="B22" s="76"/>
      <c r="C22" s="76"/>
      <c r="D22" s="76" t="s">
        <v>360</v>
      </c>
      <c r="E22" s="76"/>
      <c r="F22" s="76" t="s">
        <v>360</v>
      </c>
      <c r="G22" s="76"/>
      <c r="H22" s="77"/>
      <c r="I22" s="76"/>
      <c r="J22" s="76"/>
      <c r="K22" s="76" t="s">
        <v>413</v>
      </c>
      <c r="L22" s="76" t="s">
        <v>414</v>
      </c>
      <c r="M22" s="76"/>
      <c r="N22" s="76" t="s">
        <v>462</v>
      </c>
      <c r="O22" s="76"/>
      <c r="P22" s="76" t="s">
        <v>419</v>
      </c>
      <c r="Q22" s="76"/>
      <c r="R22" s="79" t="s">
        <v>388</v>
      </c>
      <c r="S22" s="91">
        <v>808800000</v>
      </c>
      <c r="T22" s="84">
        <v>47391</v>
      </c>
      <c r="U22" s="80" t="s">
        <v>463</v>
      </c>
      <c r="V22" s="76"/>
      <c r="W22" s="80"/>
      <c r="X22" s="80"/>
      <c r="Y22" s="80"/>
      <c r="Z22" s="82">
        <v>0.03</v>
      </c>
      <c r="AA22" s="80"/>
      <c r="AB22" s="80"/>
      <c r="AC22" s="80"/>
      <c r="AD22" s="81"/>
    </row>
    <row r="23" spans="1:30" ht="343.2" x14ac:dyDescent="0.3">
      <c r="A23" s="76"/>
      <c r="B23" s="76"/>
      <c r="C23" s="76" t="s">
        <v>360</v>
      </c>
      <c r="D23" s="76"/>
      <c r="E23" s="76"/>
      <c r="F23" s="76"/>
      <c r="G23" s="76"/>
      <c r="H23" s="77"/>
      <c r="I23" s="76" t="s">
        <v>361</v>
      </c>
      <c r="J23" s="76" t="s">
        <v>362</v>
      </c>
      <c r="K23" s="76" t="s">
        <v>363</v>
      </c>
      <c r="L23" s="76" t="s">
        <v>364</v>
      </c>
      <c r="M23" s="76" t="s">
        <v>423</v>
      </c>
      <c r="N23" s="76" t="s">
        <v>464</v>
      </c>
      <c r="O23" s="76" t="s">
        <v>367</v>
      </c>
      <c r="P23" s="76" t="s">
        <v>334</v>
      </c>
      <c r="Q23" s="76" t="s">
        <v>465</v>
      </c>
      <c r="R23" s="76" t="s">
        <v>369</v>
      </c>
      <c r="S23" s="78">
        <v>72000000000</v>
      </c>
      <c r="T23" s="76"/>
      <c r="U23" s="80" t="s">
        <v>466</v>
      </c>
      <c r="V23" s="76" t="s">
        <v>428</v>
      </c>
      <c r="W23" s="80"/>
      <c r="X23" s="80"/>
      <c r="Y23" s="80"/>
      <c r="Z23" s="82">
        <v>0.1</v>
      </c>
      <c r="AA23" s="80" t="s">
        <v>374</v>
      </c>
      <c r="AB23" s="80" t="s">
        <v>467</v>
      </c>
      <c r="AC23" s="80"/>
      <c r="AD23" s="81" t="s">
        <v>468</v>
      </c>
    </row>
    <row r="24" spans="1:30" ht="218.4" x14ac:dyDescent="0.3">
      <c r="A24" s="76"/>
      <c r="B24" s="76"/>
      <c r="C24" s="76" t="s">
        <v>360</v>
      </c>
      <c r="D24" s="76"/>
      <c r="E24" s="76"/>
      <c r="F24" s="76"/>
      <c r="G24" s="76"/>
      <c r="H24" s="77"/>
      <c r="I24" s="76" t="s">
        <v>361</v>
      </c>
      <c r="J24" s="76" t="s">
        <v>362</v>
      </c>
      <c r="K24" s="76" t="s">
        <v>363</v>
      </c>
      <c r="L24" s="76" t="s">
        <v>364</v>
      </c>
      <c r="M24" s="76" t="s">
        <v>423</v>
      </c>
      <c r="N24" s="76" t="s">
        <v>469</v>
      </c>
      <c r="O24" s="76" t="s">
        <v>367</v>
      </c>
      <c r="P24" s="76" t="s">
        <v>334</v>
      </c>
      <c r="Q24" s="76" t="s">
        <v>470</v>
      </c>
      <c r="R24" s="76" t="s">
        <v>369</v>
      </c>
      <c r="S24" s="78">
        <f>SUM(1000000000+1100000000+1200000000+1300000000+1400000000)</f>
        <v>6000000000</v>
      </c>
      <c r="T24" s="79">
        <v>46295</v>
      </c>
      <c r="U24" s="80" t="s">
        <v>471</v>
      </c>
      <c r="V24" s="76" t="s">
        <v>428</v>
      </c>
      <c r="W24" s="80"/>
      <c r="X24" s="80"/>
      <c r="Y24" s="80"/>
      <c r="Z24" s="82" t="s">
        <v>472</v>
      </c>
      <c r="AA24" s="76" t="s">
        <v>374</v>
      </c>
      <c r="AB24" s="80" t="s">
        <v>473</v>
      </c>
      <c r="AC24" s="80" t="s">
        <v>474</v>
      </c>
      <c r="AD24" s="81" t="s">
        <v>475</v>
      </c>
    </row>
    <row r="25" spans="1:30" ht="409.6" x14ac:dyDescent="0.3">
      <c r="A25" s="76"/>
      <c r="B25" s="76"/>
      <c r="C25" s="76" t="s">
        <v>360</v>
      </c>
      <c r="D25" s="76"/>
      <c r="E25" s="76"/>
      <c r="F25" s="76"/>
      <c r="G25" s="76"/>
      <c r="H25" s="77"/>
      <c r="I25" s="76" t="s">
        <v>361</v>
      </c>
      <c r="J25" s="76" t="s">
        <v>362</v>
      </c>
      <c r="K25" s="76" t="s">
        <v>363</v>
      </c>
      <c r="L25" s="76" t="s">
        <v>364</v>
      </c>
      <c r="M25" s="76" t="s">
        <v>423</v>
      </c>
      <c r="N25" s="76" t="s">
        <v>476</v>
      </c>
      <c r="O25" s="76" t="s">
        <v>477</v>
      </c>
      <c r="P25" s="76" t="s">
        <v>334</v>
      </c>
      <c r="Q25" s="76" t="s">
        <v>478</v>
      </c>
      <c r="R25" s="76" t="s">
        <v>369</v>
      </c>
      <c r="S25" s="78">
        <v>0</v>
      </c>
      <c r="T25" s="76"/>
      <c r="U25" s="80" t="s">
        <v>479</v>
      </c>
      <c r="V25" s="76" t="s">
        <v>428</v>
      </c>
      <c r="W25" s="80"/>
      <c r="X25" s="80"/>
      <c r="Y25" s="80"/>
      <c r="Z25" s="80"/>
      <c r="AA25" s="80"/>
      <c r="AB25" s="80"/>
      <c r="AC25" s="80"/>
      <c r="AD25" s="81" t="s">
        <v>480</v>
      </c>
    </row>
    <row r="26" spans="1:30" ht="187.2" x14ac:dyDescent="0.3">
      <c r="A26" s="76"/>
      <c r="B26" s="76"/>
      <c r="C26" s="76" t="s">
        <v>360</v>
      </c>
      <c r="D26" s="76"/>
      <c r="E26" s="76"/>
      <c r="F26" s="76"/>
      <c r="G26" s="76"/>
      <c r="H26" s="77"/>
      <c r="I26" s="76" t="s">
        <v>361</v>
      </c>
      <c r="J26" s="76" t="s">
        <v>362</v>
      </c>
      <c r="K26" s="76" t="s">
        <v>363</v>
      </c>
      <c r="L26" s="76" t="s">
        <v>364</v>
      </c>
      <c r="M26" s="76" t="s">
        <v>423</v>
      </c>
      <c r="N26" s="76" t="s">
        <v>481</v>
      </c>
      <c r="O26" s="76" t="s">
        <v>367</v>
      </c>
      <c r="P26" s="76" t="s">
        <v>334</v>
      </c>
      <c r="Q26" s="76" t="s">
        <v>482</v>
      </c>
      <c r="R26" s="76" t="s">
        <v>369</v>
      </c>
      <c r="S26" s="78">
        <f>SUM(2536490803+2587220620+2638965032+2691744332+2745579213)</f>
        <v>13200000000</v>
      </c>
      <c r="T26" s="76"/>
      <c r="U26" s="80" t="s">
        <v>483</v>
      </c>
      <c r="V26" s="76" t="s">
        <v>428</v>
      </c>
      <c r="W26" s="80"/>
      <c r="X26" s="80"/>
      <c r="Y26" s="80"/>
      <c r="Z26" s="80"/>
      <c r="AA26" s="80"/>
      <c r="AB26" s="80"/>
      <c r="AC26" s="80"/>
      <c r="AD26" s="81" t="s">
        <v>484</v>
      </c>
    </row>
    <row r="27" spans="1:30" ht="140.4" x14ac:dyDescent="0.3">
      <c r="A27" s="76"/>
      <c r="B27" s="76"/>
      <c r="C27" s="76" t="s">
        <v>360</v>
      </c>
      <c r="D27" s="76"/>
      <c r="E27" s="76"/>
      <c r="F27" s="76"/>
      <c r="G27" s="76"/>
      <c r="H27" s="77"/>
      <c r="I27" s="76" t="s">
        <v>361</v>
      </c>
      <c r="J27" s="76" t="s">
        <v>362</v>
      </c>
      <c r="K27" s="76" t="s">
        <v>363</v>
      </c>
      <c r="L27" s="76" t="s">
        <v>364</v>
      </c>
      <c r="M27" s="76" t="s">
        <v>423</v>
      </c>
      <c r="N27" s="76" t="s">
        <v>485</v>
      </c>
      <c r="O27" s="76" t="s">
        <v>367</v>
      </c>
      <c r="P27" s="76" t="s">
        <v>486</v>
      </c>
      <c r="Q27" s="76"/>
      <c r="R27" s="76" t="s">
        <v>369</v>
      </c>
      <c r="S27" s="78">
        <v>0</v>
      </c>
      <c r="T27" s="84">
        <v>45930</v>
      </c>
      <c r="U27" s="80" t="s">
        <v>487</v>
      </c>
      <c r="V27" s="76" t="s">
        <v>428</v>
      </c>
      <c r="W27" s="80"/>
      <c r="X27" s="80" t="s">
        <v>488</v>
      </c>
      <c r="Y27" s="80"/>
      <c r="Z27" s="80"/>
      <c r="AA27" s="80"/>
      <c r="AB27" s="80"/>
      <c r="AC27" s="80"/>
      <c r="AD27" s="81"/>
    </row>
    <row r="28" spans="1:30" ht="409.6" x14ac:dyDescent="0.3">
      <c r="A28" s="76"/>
      <c r="B28" s="76"/>
      <c r="C28" s="76" t="s">
        <v>360</v>
      </c>
      <c r="D28" s="76"/>
      <c r="E28" s="76"/>
      <c r="F28" s="76"/>
      <c r="G28" s="76"/>
      <c r="H28" s="77"/>
      <c r="I28" s="76" t="s">
        <v>361</v>
      </c>
      <c r="J28" s="76" t="s">
        <v>362</v>
      </c>
      <c r="K28" s="76" t="s">
        <v>363</v>
      </c>
      <c r="L28" s="76" t="s">
        <v>364</v>
      </c>
      <c r="M28" s="76" t="s">
        <v>423</v>
      </c>
      <c r="N28" s="76" t="s">
        <v>489</v>
      </c>
      <c r="O28" s="76" t="s">
        <v>367</v>
      </c>
      <c r="P28" s="76" t="s">
        <v>334</v>
      </c>
      <c r="Q28" s="76" t="s">
        <v>490</v>
      </c>
      <c r="R28" s="76" t="s">
        <v>369</v>
      </c>
      <c r="S28" s="78">
        <v>5000000000</v>
      </c>
      <c r="T28" s="76" t="s">
        <v>491</v>
      </c>
      <c r="U28" s="80" t="s">
        <v>492</v>
      </c>
      <c r="V28" s="76" t="s">
        <v>371</v>
      </c>
      <c r="W28" s="80"/>
      <c r="X28" s="80" t="s">
        <v>493</v>
      </c>
      <c r="Y28" s="80" t="s">
        <v>494</v>
      </c>
      <c r="Z28" s="92" t="s">
        <v>495</v>
      </c>
      <c r="AA28" s="80"/>
      <c r="AB28" s="80"/>
      <c r="AC28" s="80" t="s">
        <v>496</v>
      </c>
      <c r="AD28" s="81" t="s">
        <v>497</v>
      </c>
    </row>
    <row r="29" spans="1:30" ht="109.2" x14ac:dyDescent="0.3">
      <c r="A29" s="76"/>
      <c r="B29" s="76"/>
      <c r="C29" s="76" t="s">
        <v>360</v>
      </c>
      <c r="D29" s="76"/>
      <c r="E29" s="76"/>
      <c r="F29" s="76"/>
      <c r="G29" s="76"/>
      <c r="H29" s="77"/>
      <c r="I29" s="76" t="s">
        <v>361</v>
      </c>
      <c r="J29" s="76" t="s">
        <v>362</v>
      </c>
      <c r="K29" s="76" t="s">
        <v>363</v>
      </c>
      <c r="L29" s="76" t="s">
        <v>364</v>
      </c>
      <c r="M29" s="76" t="s">
        <v>423</v>
      </c>
      <c r="N29" s="76" t="s">
        <v>498</v>
      </c>
      <c r="O29" s="76" t="s">
        <v>367</v>
      </c>
      <c r="P29" s="76" t="s">
        <v>334</v>
      </c>
      <c r="Q29" s="76"/>
      <c r="R29" s="76" t="s">
        <v>369</v>
      </c>
      <c r="S29" s="78">
        <v>0</v>
      </c>
      <c r="T29" s="76"/>
      <c r="U29" s="80" t="s">
        <v>499</v>
      </c>
      <c r="V29" s="76" t="s">
        <v>428</v>
      </c>
      <c r="W29" s="80"/>
      <c r="X29" s="80"/>
      <c r="Y29" s="80"/>
      <c r="Z29" s="80"/>
      <c r="AA29" s="80"/>
      <c r="AB29" s="80"/>
      <c r="AC29" s="80"/>
      <c r="AD29" s="81"/>
    </row>
    <row r="30" spans="1:30" ht="390" x14ac:dyDescent="0.3">
      <c r="A30" s="76"/>
      <c r="B30" s="76"/>
      <c r="C30" s="76" t="s">
        <v>360</v>
      </c>
      <c r="D30" s="76"/>
      <c r="E30" s="76"/>
      <c r="F30" s="76"/>
      <c r="G30" s="76"/>
      <c r="H30" s="77"/>
      <c r="I30" s="76" t="s">
        <v>361</v>
      </c>
      <c r="J30" s="76" t="s">
        <v>362</v>
      </c>
      <c r="K30" s="76" t="s">
        <v>363</v>
      </c>
      <c r="L30" s="76" t="s">
        <v>364</v>
      </c>
      <c r="M30" s="76" t="s">
        <v>423</v>
      </c>
      <c r="N30" s="76" t="s">
        <v>500</v>
      </c>
      <c r="O30" s="76" t="s">
        <v>367</v>
      </c>
      <c r="P30" s="76" t="s">
        <v>334</v>
      </c>
      <c r="Q30" s="76" t="s">
        <v>501</v>
      </c>
      <c r="R30" s="76" t="s">
        <v>369</v>
      </c>
      <c r="S30" s="78">
        <v>0</v>
      </c>
      <c r="T30" s="76"/>
      <c r="U30" s="80" t="s">
        <v>502</v>
      </c>
      <c r="V30" s="76" t="s">
        <v>371</v>
      </c>
      <c r="W30" s="80"/>
      <c r="X30" s="80" t="s">
        <v>372</v>
      </c>
      <c r="Y30" s="80" t="s">
        <v>503</v>
      </c>
      <c r="Z30" s="80"/>
      <c r="AA30" s="76" t="s">
        <v>374</v>
      </c>
      <c r="AB30" s="80" t="s">
        <v>504</v>
      </c>
      <c r="AC30" s="80" t="s">
        <v>505</v>
      </c>
      <c r="AD30" s="81" t="s">
        <v>506</v>
      </c>
    </row>
    <row r="31" spans="1:30" ht="93.6" x14ac:dyDescent="0.3">
      <c r="A31" s="76"/>
      <c r="B31" s="76"/>
      <c r="C31" s="76" t="s">
        <v>360</v>
      </c>
      <c r="D31" s="76"/>
      <c r="E31" s="76"/>
      <c r="F31" s="76"/>
      <c r="G31" s="76"/>
      <c r="H31" s="77"/>
      <c r="I31" s="76" t="s">
        <v>361</v>
      </c>
      <c r="J31" s="76" t="s">
        <v>362</v>
      </c>
      <c r="K31" s="76" t="s">
        <v>363</v>
      </c>
      <c r="L31" s="76" t="s">
        <v>364</v>
      </c>
      <c r="M31" s="76" t="s">
        <v>423</v>
      </c>
      <c r="N31" s="76" t="s">
        <v>507</v>
      </c>
      <c r="O31" s="76" t="s">
        <v>367</v>
      </c>
      <c r="P31" s="76" t="s">
        <v>334</v>
      </c>
      <c r="Q31" s="76"/>
      <c r="R31" s="76" t="s">
        <v>369</v>
      </c>
      <c r="S31" s="78">
        <v>0</v>
      </c>
      <c r="T31" s="76"/>
      <c r="U31" s="80" t="s">
        <v>508</v>
      </c>
      <c r="V31" s="76" t="s">
        <v>428</v>
      </c>
      <c r="W31" s="80"/>
      <c r="X31" s="80"/>
      <c r="Y31" s="80"/>
      <c r="Z31" s="80"/>
      <c r="AA31" s="80"/>
      <c r="AB31" s="80"/>
      <c r="AC31" s="80"/>
      <c r="AD31" s="81"/>
    </row>
    <row r="32" spans="1:30" ht="327.60000000000002" x14ac:dyDescent="0.3">
      <c r="A32" s="76"/>
      <c r="B32" s="76"/>
      <c r="C32" s="76" t="s">
        <v>360</v>
      </c>
      <c r="D32" s="76"/>
      <c r="E32" s="76" t="s">
        <v>360</v>
      </c>
      <c r="F32" s="76"/>
      <c r="G32" s="76"/>
      <c r="H32" s="77"/>
      <c r="I32" s="76" t="s">
        <v>361</v>
      </c>
      <c r="J32" s="76" t="s">
        <v>362</v>
      </c>
      <c r="K32" s="76" t="s">
        <v>363</v>
      </c>
      <c r="L32" s="76" t="s">
        <v>364</v>
      </c>
      <c r="M32" s="76" t="s">
        <v>509</v>
      </c>
      <c r="N32" s="76" t="s">
        <v>510</v>
      </c>
      <c r="O32" s="76" t="s">
        <v>367</v>
      </c>
      <c r="P32" s="76" t="s">
        <v>334</v>
      </c>
      <c r="Q32" s="76"/>
      <c r="R32" s="76" t="s">
        <v>369</v>
      </c>
      <c r="S32" s="78">
        <v>0</v>
      </c>
      <c r="T32" s="76"/>
      <c r="U32" s="80" t="s">
        <v>511</v>
      </c>
      <c r="V32" s="76" t="s">
        <v>428</v>
      </c>
      <c r="W32" s="80"/>
      <c r="X32" s="80"/>
      <c r="Y32" s="80"/>
      <c r="Z32" s="80"/>
      <c r="AA32" s="80"/>
      <c r="AB32" s="80"/>
      <c r="AC32" s="80"/>
      <c r="AD32" s="81"/>
    </row>
    <row r="33" spans="1:30" ht="409.6" x14ac:dyDescent="0.3">
      <c r="A33" s="76"/>
      <c r="B33" s="76"/>
      <c r="C33" s="76" t="s">
        <v>457</v>
      </c>
      <c r="D33" s="76"/>
      <c r="E33" s="76"/>
      <c r="F33" s="76"/>
      <c r="G33" s="76"/>
      <c r="H33" s="77"/>
      <c r="I33" s="76" t="s">
        <v>361</v>
      </c>
      <c r="J33" s="76"/>
      <c r="K33" s="76" t="s">
        <v>363</v>
      </c>
      <c r="L33" s="76" t="s">
        <v>364</v>
      </c>
      <c r="M33" s="76" t="s">
        <v>509</v>
      </c>
      <c r="N33" s="76" t="s">
        <v>512</v>
      </c>
      <c r="O33" s="76" t="s">
        <v>367</v>
      </c>
      <c r="P33" s="76"/>
      <c r="Q33" s="76"/>
      <c r="R33" s="76" t="s">
        <v>369</v>
      </c>
      <c r="S33" s="78">
        <v>0</v>
      </c>
      <c r="T33" s="76"/>
      <c r="U33" s="80" t="s">
        <v>513</v>
      </c>
      <c r="V33" s="76" t="s">
        <v>428</v>
      </c>
      <c r="W33" s="80"/>
      <c r="X33" s="80" t="s">
        <v>372</v>
      </c>
      <c r="Y33" s="80" t="s">
        <v>514</v>
      </c>
      <c r="Z33" s="80"/>
      <c r="AA33" s="76" t="s">
        <v>374</v>
      </c>
      <c r="AB33" s="80" t="s">
        <v>504</v>
      </c>
      <c r="AC33" s="80"/>
      <c r="AD33" s="81"/>
    </row>
    <row r="34" spans="1:30" ht="327.60000000000002" x14ac:dyDescent="0.3">
      <c r="A34" s="76"/>
      <c r="B34" s="76"/>
      <c r="C34" s="76" t="s">
        <v>457</v>
      </c>
      <c r="D34" s="76"/>
      <c r="E34" s="76"/>
      <c r="F34" s="76"/>
      <c r="G34" s="76"/>
      <c r="H34" s="77"/>
      <c r="I34" s="76" t="s">
        <v>361</v>
      </c>
      <c r="J34" s="76"/>
      <c r="K34" s="76" t="s">
        <v>363</v>
      </c>
      <c r="L34" s="76" t="s">
        <v>364</v>
      </c>
      <c r="M34" s="76" t="s">
        <v>515</v>
      </c>
      <c r="N34" s="76" t="s">
        <v>516</v>
      </c>
      <c r="O34" s="76" t="s">
        <v>367</v>
      </c>
      <c r="P34" s="76"/>
      <c r="Q34" s="76"/>
      <c r="R34" s="76" t="s">
        <v>369</v>
      </c>
      <c r="S34" s="78">
        <v>0</v>
      </c>
      <c r="T34" s="76"/>
      <c r="U34" s="80" t="s">
        <v>517</v>
      </c>
      <c r="V34" s="76" t="s">
        <v>371</v>
      </c>
      <c r="W34" s="80"/>
      <c r="X34" s="80"/>
      <c r="Y34" s="80"/>
      <c r="Z34" s="80"/>
      <c r="AA34" s="80"/>
      <c r="AB34" s="80"/>
      <c r="AC34" s="80"/>
      <c r="AD34" s="81"/>
    </row>
    <row r="35" spans="1:30" ht="409.6" x14ac:dyDescent="0.3">
      <c r="A35" s="76"/>
      <c r="B35" s="76"/>
      <c r="C35" s="76" t="s">
        <v>360</v>
      </c>
      <c r="D35" s="76"/>
      <c r="E35" s="76"/>
      <c r="F35" s="76"/>
      <c r="G35" s="76"/>
      <c r="H35" s="77" t="s">
        <v>360</v>
      </c>
      <c r="I35" s="76" t="s">
        <v>361</v>
      </c>
      <c r="J35" s="76" t="s">
        <v>362</v>
      </c>
      <c r="K35" s="76" t="s">
        <v>363</v>
      </c>
      <c r="L35" s="76" t="s">
        <v>364</v>
      </c>
      <c r="M35" s="76" t="s">
        <v>365</v>
      </c>
      <c r="N35" s="76" t="s">
        <v>518</v>
      </c>
      <c r="O35" s="76" t="s">
        <v>367</v>
      </c>
      <c r="P35" s="76" t="s">
        <v>486</v>
      </c>
      <c r="Q35" s="76"/>
      <c r="R35" s="76" t="s">
        <v>369</v>
      </c>
      <c r="S35" s="78">
        <f>SUM(50000000*5)</f>
        <v>250000000</v>
      </c>
      <c r="T35" s="79">
        <v>46295</v>
      </c>
      <c r="U35" s="80" t="s">
        <v>519</v>
      </c>
      <c r="V35" s="76" t="s">
        <v>371</v>
      </c>
      <c r="W35" s="80"/>
      <c r="X35" s="80" t="s">
        <v>520</v>
      </c>
      <c r="Y35" s="80"/>
      <c r="Z35" s="80"/>
      <c r="AA35" s="76" t="s">
        <v>374</v>
      </c>
      <c r="AB35" s="80" t="s">
        <v>521</v>
      </c>
      <c r="AC35" s="80"/>
      <c r="AD35" s="81"/>
    </row>
    <row r="36" spans="1:30" ht="409.6" x14ac:dyDescent="0.3">
      <c r="A36" s="76"/>
      <c r="B36" s="76"/>
      <c r="C36" s="76" t="s">
        <v>360</v>
      </c>
      <c r="D36" s="76"/>
      <c r="E36" s="76" t="s">
        <v>360</v>
      </c>
      <c r="F36" s="76"/>
      <c r="G36" s="76"/>
      <c r="H36" s="77" t="s">
        <v>360</v>
      </c>
      <c r="I36" s="76" t="s">
        <v>361</v>
      </c>
      <c r="J36" s="76" t="s">
        <v>362</v>
      </c>
      <c r="K36" s="76" t="s">
        <v>363</v>
      </c>
      <c r="L36" s="76" t="s">
        <v>364</v>
      </c>
      <c r="M36" s="76" t="s">
        <v>365</v>
      </c>
      <c r="N36" s="76" t="s">
        <v>522</v>
      </c>
      <c r="O36" s="76" t="s">
        <v>367</v>
      </c>
      <c r="P36" s="76" t="s">
        <v>334</v>
      </c>
      <c r="Q36" s="76" t="s">
        <v>523</v>
      </c>
      <c r="R36" s="76" t="s">
        <v>369</v>
      </c>
      <c r="S36" s="76" t="s">
        <v>524</v>
      </c>
      <c r="T36" s="76"/>
      <c r="U36" s="80" t="s">
        <v>525</v>
      </c>
      <c r="V36" s="76" t="s">
        <v>371</v>
      </c>
      <c r="W36" s="80"/>
      <c r="X36" s="80" t="s">
        <v>526</v>
      </c>
      <c r="Y36" s="80"/>
      <c r="Z36" s="80"/>
      <c r="AA36" s="80"/>
      <c r="AB36" s="80" t="s">
        <v>527</v>
      </c>
      <c r="AC36" s="80"/>
      <c r="AD36" s="81"/>
    </row>
    <row r="37" spans="1:30" ht="409.6" x14ac:dyDescent="0.3">
      <c r="A37" s="76"/>
      <c r="B37" s="76"/>
      <c r="C37" s="76" t="s">
        <v>360</v>
      </c>
      <c r="D37" s="76"/>
      <c r="E37" s="76"/>
      <c r="F37" s="76"/>
      <c r="G37" s="76"/>
      <c r="H37" s="77"/>
      <c r="I37" s="76" t="s">
        <v>361</v>
      </c>
      <c r="J37" s="76" t="s">
        <v>362</v>
      </c>
      <c r="K37" s="76" t="s">
        <v>363</v>
      </c>
      <c r="L37" s="76" t="s">
        <v>364</v>
      </c>
      <c r="M37" s="76" t="s">
        <v>365</v>
      </c>
      <c r="N37" s="76" t="s">
        <v>528</v>
      </c>
      <c r="O37" s="76" t="s">
        <v>367</v>
      </c>
      <c r="P37" s="76" t="s">
        <v>334</v>
      </c>
      <c r="Q37" s="76" t="s">
        <v>529</v>
      </c>
      <c r="R37" s="76" t="s">
        <v>369</v>
      </c>
      <c r="S37" s="78">
        <f>SUM(50000000*5)</f>
        <v>250000000</v>
      </c>
      <c r="T37" s="79">
        <v>46295</v>
      </c>
      <c r="U37" s="80" t="s">
        <v>530</v>
      </c>
      <c r="V37" s="76" t="s">
        <v>371</v>
      </c>
      <c r="W37" s="80" t="s">
        <v>531</v>
      </c>
      <c r="X37" s="80" t="s">
        <v>372</v>
      </c>
      <c r="Y37" s="80" t="s">
        <v>532</v>
      </c>
      <c r="Z37" s="80"/>
      <c r="AA37" s="76" t="s">
        <v>374</v>
      </c>
      <c r="AB37" s="80" t="s">
        <v>533</v>
      </c>
      <c r="AC37" s="80" t="s">
        <v>534</v>
      </c>
      <c r="AD37" s="81"/>
    </row>
    <row r="38" spans="1:30" ht="409.6" x14ac:dyDescent="0.3">
      <c r="A38" s="76"/>
      <c r="B38" s="76"/>
      <c r="C38" s="76" t="s">
        <v>360</v>
      </c>
      <c r="D38" s="76" t="s">
        <v>360</v>
      </c>
      <c r="E38" s="76"/>
      <c r="F38" s="76"/>
      <c r="G38" s="76"/>
      <c r="H38" s="77"/>
      <c r="I38" s="76" t="s">
        <v>361</v>
      </c>
      <c r="J38" s="76" t="s">
        <v>362</v>
      </c>
      <c r="K38" s="76" t="s">
        <v>363</v>
      </c>
      <c r="L38" s="76" t="s">
        <v>364</v>
      </c>
      <c r="M38" s="76" t="s">
        <v>365</v>
      </c>
      <c r="N38" s="76" t="s">
        <v>535</v>
      </c>
      <c r="O38" s="76" t="s">
        <v>367</v>
      </c>
      <c r="P38" s="76" t="s">
        <v>425</v>
      </c>
      <c r="Q38" s="76" t="s">
        <v>536</v>
      </c>
      <c r="R38" s="76" t="s">
        <v>369</v>
      </c>
      <c r="S38" s="78">
        <f>SUM(250000000+250000000+300000000+300000000+300000000+7000000000)</f>
        <v>8400000000</v>
      </c>
      <c r="T38" s="79">
        <v>46295</v>
      </c>
      <c r="U38" s="80" t="s">
        <v>537</v>
      </c>
      <c r="V38" s="76" t="s">
        <v>371</v>
      </c>
      <c r="W38" s="80" t="s">
        <v>538</v>
      </c>
      <c r="X38" s="80" t="s">
        <v>372</v>
      </c>
      <c r="Y38" s="80" t="s">
        <v>539</v>
      </c>
      <c r="Z38" s="80"/>
      <c r="AA38" s="80"/>
      <c r="AB38" s="80"/>
      <c r="AC38" s="80" t="s">
        <v>540</v>
      </c>
      <c r="AD38" s="81" t="s">
        <v>541</v>
      </c>
    </row>
    <row r="39" spans="1:30" ht="31.2" x14ac:dyDescent="0.3">
      <c r="A39" s="76"/>
      <c r="B39" s="76"/>
      <c r="C39" s="76" t="s">
        <v>457</v>
      </c>
      <c r="D39" s="76"/>
      <c r="E39" s="76"/>
      <c r="F39" s="76"/>
      <c r="G39" s="76"/>
      <c r="H39" s="77"/>
      <c r="I39" s="76" t="s">
        <v>361</v>
      </c>
      <c r="J39" s="76" t="s">
        <v>362</v>
      </c>
      <c r="K39" s="76" t="s">
        <v>363</v>
      </c>
      <c r="L39" s="76" t="s">
        <v>364</v>
      </c>
      <c r="M39" s="76" t="s">
        <v>378</v>
      </c>
      <c r="N39" s="76">
        <v>11504</v>
      </c>
      <c r="O39" s="76" t="s">
        <v>367</v>
      </c>
      <c r="P39" s="76" t="s">
        <v>334</v>
      </c>
      <c r="Q39" s="76" t="s">
        <v>426</v>
      </c>
      <c r="R39" s="76" t="s">
        <v>426</v>
      </c>
      <c r="S39" s="76" t="s">
        <v>426</v>
      </c>
      <c r="T39" s="76" t="s">
        <v>426</v>
      </c>
      <c r="U39" s="80" t="s">
        <v>542</v>
      </c>
      <c r="V39" s="76"/>
      <c r="W39" s="80"/>
      <c r="X39" s="80" t="s">
        <v>543</v>
      </c>
      <c r="Y39" s="80"/>
      <c r="Z39" s="80"/>
      <c r="AA39" s="80"/>
      <c r="AB39" s="80"/>
      <c r="AC39" s="80"/>
      <c r="AD39" s="81"/>
    </row>
    <row r="40" spans="1:30" ht="202.8" x14ac:dyDescent="0.3">
      <c r="A40" s="76"/>
      <c r="B40" s="76"/>
      <c r="C40" s="76" t="s">
        <v>457</v>
      </c>
      <c r="D40" s="76" t="s">
        <v>457</v>
      </c>
      <c r="E40" s="76"/>
      <c r="F40" s="76"/>
      <c r="G40" s="76"/>
      <c r="H40" s="77"/>
      <c r="I40" s="76" t="s">
        <v>361</v>
      </c>
      <c r="J40" s="76" t="s">
        <v>362</v>
      </c>
      <c r="K40" s="76" t="s">
        <v>363</v>
      </c>
      <c r="L40" s="76" t="s">
        <v>364</v>
      </c>
      <c r="M40" s="76" t="s">
        <v>378</v>
      </c>
      <c r="N40" s="76">
        <v>11505</v>
      </c>
      <c r="O40" s="76" t="s">
        <v>367</v>
      </c>
      <c r="P40" s="76" t="s">
        <v>334</v>
      </c>
      <c r="Q40" s="76" t="s">
        <v>426</v>
      </c>
      <c r="R40" s="76" t="s">
        <v>426</v>
      </c>
      <c r="S40" s="76" t="s">
        <v>426</v>
      </c>
      <c r="T40" s="76" t="s">
        <v>426</v>
      </c>
      <c r="U40" s="80" t="s">
        <v>544</v>
      </c>
      <c r="V40" s="76"/>
      <c r="W40" s="80"/>
      <c r="X40" s="80" t="s">
        <v>543</v>
      </c>
      <c r="Y40" s="80"/>
      <c r="Z40" s="80"/>
      <c r="AA40" s="80"/>
      <c r="AB40" s="80"/>
      <c r="AC40" s="80"/>
      <c r="AD40" s="81"/>
    </row>
    <row r="41" spans="1:30" ht="409.6" x14ac:dyDescent="0.3">
      <c r="A41" s="76"/>
      <c r="B41" s="76"/>
      <c r="C41" s="76" t="s">
        <v>360</v>
      </c>
      <c r="D41" s="76"/>
      <c r="E41" s="76" t="s">
        <v>360</v>
      </c>
      <c r="F41" s="76"/>
      <c r="G41" s="76"/>
      <c r="H41" s="77"/>
      <c r="I41" s="76" t="s">
        <v>361</v>
      </c>
      <c r="J41" s="76" t="s">
        <v>362</v>
      </c>
      <c r="K41" s="76" t="s">
        <v>363</v>
      </c>
      <c r="L41" s="76" t="s">
        <v>364</v>
      </c>
      <c r="M41" s="76" t="s">
        <v>378</v>
      </c>
      <c r="N41" s="76" t="s">
        <v>545</v>
      </c>
      <c r="O41" s="76" t="s">
        <v>367</v>
      </c>
      <c r="P41" s="76" t="s">
        <v>546</v>
      </c>
      <c r="Q41" s="76" t="s">
        <v>547</v>
      </c>
      <c r="R41" s="76" t="s">
        <v>369</v>
      </c>
      <c r="S41" s="78">
        <f>SUM((30000000*5)+65000000+68000000+70000000+72000000+75000000)</f>
        <v>500000000</v>
      </c>
      <c r="T41" s="79">
        <v>46295</v>
      </c>
      <c r="U41" s="80" t="s">
        <v>548</v>
      </c>
      <c r="V41" s="76" t="s">
        <v>371</v>
      </c>
      <c r="W41" s="80" t="s">
        <v>549</v>
      </c>
      <c r="X41" s="80" t="s">
        <v>372</v>
      </c>
      <c r="Y41" s="80" t="s">
        <v>550</v>
      </c>
      <c r="Z41" s="80"/>
      <c r="AA41" s="80" t="s">
        <v>551</v>
      </c>
      <c r="AB41" s="80" t="s">
        <v>552</v>
      </c>
      <c r="AC41" s="80"/>
      <c r="AD41" s="81"/>
    </row>
    <row r="42" spans="1:30" ht="409.6" x14ac:dyDescent="0.3">
      <c r="A42" s="76"/>
      <c r="B42" s="76"/>
      <c r="C42" s="76" t="s">
        <v>457</v>
      </c>
      <c r="D42" s="76"/>
      <c r="E42" s="76"/>
      <c r="F42" s="76"/>
      <c r="G42" s="76"/>
      <c r="H42" s="77"/>
      <c r="I42" s="76" t="s">
        <v>361</v>
      </c>
      <c r="J42" s="76" t="s">
        <v>362</v>
      </c>
      <c r="K42" s="76" t="s">
        <v>363</v>
      </c>
      <c r="L42" s="76" t="s">
        <v>364</v>
      </c>
      <c r="M42" s="76" t="s">
        <v>378</v>
      </c>
      <c r="N42" s="76">
        <v>11511</v>
      </c>
      <c r="O42" s="76" t="s">
        <v>367</v>
      </c>
      <c r="P42" s="76" t="s">
        <v>334</v>
      </c>
      <c r="Q42" s="76" t="s">
        <v>426</v>
      </c>
      <c r="R42" s="76" t="s">
        <v>426</v>
      </c>
      <c r="S42" s="76" t="s">
        <v>426</v>
      </c>
      <c r="T42" s="76" t="s">
        <v>426</v>
      </c>
      <c r="U42" s="80" t="s">
        <v>553</v>
      </c>
      <c r="V42" s="76" t="s">
        <v>371</v>
      </c>
      <c r="W42" s="80"/>
      <c r="X42" s="80" t="s">
        <v>543</v>
      </c>
      <c r="Y42" s="80"/>
      <c r="Z42" s="80"/>
      <c r="AA42" s="80"/>
      <c r="AB42" s="80"/>
      <c r="AC42" s="80"/>
      <c r="AD42" s="81"/>
    </row>
    <row r="43" spans="1:30" ht="280.8" x14ac:dyDescent="0.3">
      <c r="A43" s="76"/>
      <c r="B43" s="76"/>
      <c r="C43" s="76" t="s">
        <v>457</v>
      </c>
      <c r="D43" s="76"/>
      <c r="E43" s="76"/>
      <c r="F43" s="76"/>
      <c r="G43" s="76"/>
      <c r="H43" s="77"/>
      <c r="I43" s="76" t="s">
        <v>361</v>
      </c>
      <c r="J43" s="76" t="s">
        <v>362</v>
      </c>
      <c r="K43" s="76" t="s">
        <v>363</v>
      </c>
      <c r="L43" s="76" t="s">
        <v>364</v>
      </c>
      <c r="M43" s="76" t="s">
        <v>378</v>
      </c>
      <c r="N43" s="76">
        <v>11516</v>
      </c>
      <c r="O43" s="76" t="s">
        <v>367</v>
      </c>
      <c r="P43" s="76" t="s">
        <v>334</v>
      </c>
      <c r="Q43" s="76"/>
      <c r="R43" s="76" t="s">
        <v>369</v>
      </c>
      <c r="S43" s="76"/>
      <c r="T43" s="79">
        <v>46295</v>
      </c>
      <c r="U43" s="80" t="s">
        <v>554</v>
      </c>
      <c r="V43" s="76" t="s">
        <v>371</v>
      </c>
      <c r="W43" s="80"/>
      <c r="X43" s="80" t="s">
        <v>543</v>
      </c>
      <c r="Y43" s="80"/>
      <c r="Z43" s="80"/>
      <c r="AA43" s="80"/>
      <c r="AB43" s="80"/>
      <c r="AC43" s="80"/>
      <c r="AD43" s="81"/>
    </row>
    <row r="44" spans="1:30" ht="62.4" x14ac:dyDescent="0.3">
      <c r="A44" s="76"/>
      <c r="B44" s="76"/>
      <c r="C44" s="76" t="s">
        <v>360</v>
      </c>
      <c r="D44" s="76" t="s">
        <v>360</v>
      </c>
      <c r="E44" s="76"/>
      <c r="F44" s="76"/>
      <c r="G44" s="76"/>
      <c r="H44" s="77"/>
      <c r="I44" s="76" t="s">
        <v>361</v>
      </c>
      <c r="J44" s="76" t="s">
        <v>362</v>
      </c>
      <c r="K44" s="76" t="s">
        <v>363</v>
      </c>
      <c r="L44" s="76" t="s">
        <v>364</v>
      </c>
      <c r="M44" s="76" t="s">
        <v>378</v>
      </c>
      <c r="N44" s="76">
        <v>11521</v>
      </c>
      <c r="O44" s="76" t="s">
        <v>367</v>
      </c>
      <c r="P44" s="76" t="s">
        <v>334</v>
      </c>
      <c r="Q44" s="76"/>
      <c r="R44" s="76" t="s">
        <v>369</v>
      </c>
      <c r="S44" s="76"/>
      <c r="T44" s="79">
        <v>46295</v>
      </c>
      <c r="U44" s="80" t="s">
        <v>555</v>
      </c>
      <c r="V44" s="76" t="s">
        <v>371</v>
      </c>
      <c r="W44" s="80"/>
      <c r="X44" s="80" t="s">
        <v>543</v>
      </c>
      <c r="Y44" s="80"/>
      <c r="Z44" s="80"/>
      <c r="AA44" s="80"/>
      <c r="AB44" s="80"/>
      <c r="AC44" s="80"/>
      <c r="AD44" s="81"/>
    </row>
    <row r="45" spans="1:30" ht="409.6" x14ac:dyDescent="0.3">
      <c r="A45" s="76"/>
      <c r="B45" s="76"/>
      <c r="C45" s="76" t="s">
        <v>360</v>
      </c>
      <c r="D45" s="76"/>
      <c r="E45" s="76"/>
      <c r="F45" s="76"/>
      <c r="G45" s="76"/>
      <c r="H45" s="77"/>
      <c r="I45" s="76" t="s">
        <v>361</v>
      </c>
      <c r="J45" s="76" t="s">
        <v>362</v>
      </c>
      <c r="K45" s="76" t="s">
        <v>363</v>
      </c>
      <c r="L45" s="76" t="s">
        <v>364</v>
      </c>
      <c r="M45" s="76" t="s">
        <v>378</v>
      </c>
      <c r="N45" s="76">
        <v>11529</v>
      </c>
      <c r="O45" s="76" t="s">
        <v>367</v>
      </c>
      <c r="P45" s="76" t="s">
        <v>334</v>
      </c>
      <c r="Q45" s="76" t="s">
        <v>556</v>
      </c>
      <c r="R45" s="76" t="s">
        <v>369</v>
      </c>
      <c r="S45" s="78">
        <f>SUM(200000000*5)</f>
        <v>1000000000</v>
      </c>
      <c r="T45" s="79">
        <v>46295</v>
      </c>
      <c r="U45" s="80" t="s">
        <v>557</v>
      </c>
      <c r="V45" s="76" t="s">
        <v>371</v>
      </c>
      <c r="W45" s="80" t="s">
        <v>558</v>
      </c>
      <c r="X45" s="80" t="s">
        <v>382</v>
      </c>
      <c r="Y45" s="80" t="s">
        <v>559</v>
      </c>
      <c r="Z45" s="93" t="s">
        <v>560</v>
      </c>
      <c r="AA45" s="76" t="s">
        <v>374</v>
      </c>
      <c r="AB45" s="80" t="s">
        <v>561</v>
      </c>
      <c r="AC45" s="80" t="s">
        <v>562</v>
      </c>
      <c r="AD45" s="81" t="s">
        <v>563</v>
      </c>
    </row>
    <row r="46" spans="1:30" ht="187.2" x14ac:dyDescent="0.3">
      <c r="A46" s="76"/>
      <c r="B46" s="76"/>
      <c r="C46" s="76" t="s">
        <v>360</v>
      </c>
      <c r="D46" s="76"/>
      <c r="E46" s="76"/>
      <c r="F46" s="76"/>
      <c r="G46" s="76"/>
      <c r="H46" s="77"/>
      <c r="I46" s="76" t="s">
        <v>361</v>
      </c>
      <c r="J46" s="76" t="s">
        <v>362</v>
      </c>
      <c r="K46" s="76" t="s">
        <v>363</v>
      </c>
      <c r="L46" s="76" t="s">
        <v>564</v>
      </c>
      <c r="M46" s="76"/>
      <c r="N46" s="76">
        <v>13001</v>
      </c>
      <c r="O46" s="76" t="s">
        <v>367</v>
      </c>
      <c r="P46" s="76" t="s">
        <v>565</v>
      </c>
      <c r="Q46" s="76"/>
      <c r="R46" s="76" t="s">
        <v>369</v>
      </c>
      <c r="S46" s="78">
        <f>15000000*5</f>
        <v>75000000</v>
      </c>
      <c r="T46" s="79">
        <v>46295</v>
      </c>
      <c r="U46" s="80" t="s">
        <v>566</v>
      </c>
      <c r="V46" s="76" t="s">
        <v>371</v>
      </c>
      <c r="W46" s="80"/>
      <c r="X46" s="80" t="s">
        <v>382</v>
      </c>
      <c r="Y46" s="80" t="s">
        <v>567</v>
      </c>
      <c r="Z46" s="93"/>
      <c r="AA46" s="76" t="s">
        <v>374</v>
      </c>
      <c r="AB46" s="80" t="s">
        <v>568</v>
      </c>
      <c r="AC46" s="80"/>
      <c r="AD46" s="81"/>
    </row>
    <row r="47" spans="1:30" ht="296.39999999999998" x14ac:dyDescent="0.3">
      <c r="A47" s="76"/>
      <c r="B47" s="76"/>
      <c r="C47" s="76" t="s">
        <v>360</v>
      </c>
      <c r="D47" s="76"/>
      <c r="E47" s="76"/>
      <c r="F47" s="76"/>
      <c r="G47" s="76"/>
      <c r="H47" s="77"/>
      <c r="I47" s="76" t="s">
        <v>361</v>
      </c>
      <c r="J47" s="76" t="s">
        <v>362</v>
      </c>
      <c r="K47" s="76" t="s">
        <v>363</v>
      </c>
      <c r="L47" s="76" t="s">
        <v>564</v>
      </c>
      <c r="M47" s="76"/>
      <c r="N47" s="76">
        <v>13002</v>
      </c>
      <c r="O47" s="76" t="s">
        <v>367</v>
      </c>
      <c r="P47" s="76" t="s">
        <v>565</v>
      </c>
      <c r="Q47" s="76" t="s">
        <v>569</v>
      </c>
      <c r="R47" s="76" t="s">
        <v>369</v>
      </c>
      <c r="S47" s="83">
        <v>10000000</v>
      </c>
      <c r="T47" s="79">
        <v>46295</v>
      </c>
      <c r="U47" s="80" t="s">
        <v>570</v>
      </c>
      <c r="V47" s="76" t="s">
        <v>371</v>
      </c>
      <c r="W47" s="80"/>
      <c r="X47" s="80"/>
      <c r="Y47" s="80"/>
      <c r="Z47" s="80"/>
      <c r="AA47" s="80"/>
      <c r="AB47" s="80"/>
      <c r="AC47" s="80"/>
      <c r="AD47" s="81"/>
    </row>
    <row r="48" spans="1:30" ht="280.8" x14ac:dyDescent="0.3">
      <c r="A48" s="76"/>
      <c r="B48" s="76"/>
      <c r="C48" s="76" t="s">
        <v>457</v>
      </c>
      <c r="D48" s="76"/>
      <c r="E48" s="76"/>
      <c r="F48" s="76"/>
      <c r="G48" s="76"/>
      <c r="H48" s="77"/>
      <c r="I48" s="76" t="s">
        <v>361</v>
      </c>
      <c r="J48" s="76" t="s">
        <v>362</v>
      </c>
      <c r="K48" s="76" t="s">
        <v>363</v>
      </c>
      <c r="L48" s="76" t="s">
        <v>564</v>
      </c>
      <c r="M48" s="76"/>
      <c r="N48" s="76" t="s">
        <v>571</v>
      </c>
      <c r="O48" s="76" t="s">
        <v>367</v>
      </c>
      <c r="P48" s="76" t="s">
        <v>334</v>
      </c>
      <c r="Q48" s="76"/>
      <c r="R48" s="76" t="s">
        <v>369</v>
      </c>
      <c r="S48" s="78">
        <f>SUM(100000000*5)</f>
        <v>500000000</v>
      </c>
      <c r="T48" s="79">
        <v>46295</v>
      </c>
      <c r="U48" s="80" t="s">
        <v>572</v>
      </c>
      <c r="V48" s="76" t="s">
        <v>371</v>
      </c>
      <c r="W48" s="80"/>
      <c r="X48" s="80"/>
      <c r="Y48" s="80"/>
      <c r="Z48" s="80"/>
      <c r="AA48" s="76" t="s">
        <v>374</v>
      </c>
      <c r="AB48" s="80" t="s">
        <v>573</v>
      </c>
      <c r="AC48" s="80"/>
      <c r="AD48" s="81"/>
    </row>
    <row r="49" spans="1:30" ht="202.8" x14ac:dyDescent="0.3">
      <c r="A49" s="76"/>
      <c r="B49" s="76"/>
      <c r="C49" s="76" t="s">
        <v>360</v>
      </c>
      <c r="D49" s="76"/>
      <c r="E49" s="76"/>
      <c r="F49" s="76"/>
      <c r="G49" s="76"/>
      <c r="H49" s="77"/>
      <c r="I49" s="76" t="s">
        <v>361</v>
      </c>
      <c r="J49" s="76" t="s">
        <v>362</v>
      </c>
      <c r="K49" s="76" t="s">
        <v>363</v>
      </c>
      <c r="L49" s="76" t="s">
        <v>564</v>
      </c>
      <c r="M49" s="76"/>
      <c r="N49" s="76">
        <v>13010</v>
      </c>
      <c r="O49" s="76" t="s">
        <v>367</v>
      </c>
      <c r="P49" s="76" t="s">
        <v>334</v>
      </c>
      <c r="Q49" s="76"/>
      <c r="R49" s="76" t="s">
        <v>426</v>
      </c>
      <c r="S49" s="94">
        <v>0</v>
      </c>
      <c r="T49" s="76" t="s">
        <v>426</v>
      </c>
      <c r="U49" s="80" t="s">
        <v>574</v>
      </c>
      <c r="V49" s="76" t="s">
        <v>371</v>
      </c>
      <c r="W49" s="80"/>
      <c r="X49" s="80" t="s">
        <v>382</v>
      </c>
      <c r="Y49" s="80" t="s">
        <v>575</v>
      </c>
      <c r="Z49" s="80"/>
      <c r="AA49" s="80"/>
      <c r="AB49" s="80"/>
      <c r="AC49" s="80"/>
      <c r="AD49" s="81"/>
    </row>
    <row r="50" spans="1:30" ht="187.2" x14ac:dyDescent="0.3">
      <c r="A50" s="76"/>
      <c r="B50" s="76"/>
      <c r="C50" s="76" t="s">
        <v>457</v>
      </c>
      <c r="D50" s="76"/>
      <c r="E50" s="76"/>
      <c r="F50" s="76"/>
      <c r="G50" s="76"/>
      <c r="H50" s="77"/>
      <c r="I50" s="76" t="s">
        <v>361</v>
      </c>
      <c r="J50" s="76" t="s">
        <v>362</v>
      </c>
      <c r="K50" s="76" t="s">
        <v>576</v>
      </c>
      <c r="L50" s="76" t="s">
        <v>577</v>
      </c>
      <c r="M50" s="76" t="s">
        <v>578</v>
      </c>
      <c r="N50" s="76" t="s">
        <v>579</v>
      </c>
      <c r="O50" s="76" t="s">
        <v>367</v>
      </c>
      <c r="P50" s="76" t="s">
        <v>580</v>
      </c>
      <c r="Q50" s="76"/>
      <c r="R50" s="76" t="s">
        <v>369</v>
      </c>
      <c r="S50" s="78">
        <v>5000000000</v>
      </c>
      <c r="T50" s="79">
        <v>46295</v>
      </c>
      <c r="U50" s="80" t="s">
        <v>581</v>
      </c>
      <c r="V50" s="76" t="s">
        <v>371</v>
      </c>
      <c r="W50" s="80" t="s">
        <v>582</v>
      </c>
      <c r="X50" s="80" t="s">
        <v>382</v>
      </c>
      <c r="Y50" s="80" t="s">
        <v>583</v>
      </c>
      <c r="Z50" s="80"/>
      <c r="AA50" s="80"/>
      <c r="AB50" s="80"/>
      <c r="AC50" s="80"/>
      <c r="AD50" s="81"/>
    </row>
    <row r="51" spans="1:30" ht="409.6" x14ac:dyDescent="0.3">
      <c r="A51" s="76"/>
      <c r="B51" s="76"/>
      <c r="C51" s="76" t="s">
        <v>360</v>
      </c>
      <c r="D51" s="76"/>
      <c r="E51" s="76" t="s">
        <v>360</v>
      </c>
      <c r="F51" s="76"/>
      <c r="G51" s="76"/>
      <c r="H51" s="77"/>
      <c r="I51" s="76" t="s">
        <v>361</v>
      </c>
      <c r="J51" s="76" t="s">
        <v>362</v>
      </c>
      <c r="K51" s="76" t="s">
        <v>576</v>
      </c>
      <c r="L51" s="76" t="s">
        <v>577</v>
      </c>
      <c r="M51" s="76" t="s">
        <v>578</v>
      </c>
      <c r="N51" s="76" t="s">
        <v>584</v>
      </c>
      <c r="O51" s="76" t="s">
        <v>367</v>
      </c>
      <c r="P51" s="76" t="s">
        <v>585</v>
      </c>
      <c r="Q51" s="76" t="s">
        <v>586</v>
      </c>
      <c r="R51" s="76" t="s">
        <v>369</v>
      </c>
      <c r="S51" s="78">
        <f>SUM(1500000000*5)</f>
        <v>7500000000</v>
      </c>
      <c r="T51" s="79">
        <v>47391</v>
      </c>
      <c r="U51" s="80" t="s">
        <v>587</v>
      </c>
      <c r="V51" s="76" t="s">
        <v>371</v>
      </c>
      <c r="W51" s="80" t="s">
        <v>582</v>
      </c>
      <c r="X51" s="80" t="s">
        <v>382</v>
      </c>
      <c r="Y51" s="80" t="s">
        <v>588</v>
      </c>
      <c r="Z51" s="80"/>
      <c r="AA51" s="76" t="s">
        <v>374</v>
      </c>
      <c r="AB51" s="80" t="s">
        <v>589</v>
      </c>
      <c r="AC51" s="80" t="s">
        <v>590</v>
      </c>
      <c r="AD51" s="81" t="s">
        <v>591</v>
      </c>
    </row>
    <row r="52" spans="1:30" ht="140.4" x14ac:dyDescent="0.3">
      <c r="A52" s="76"/>
      <c r="B52" s="76"/>
      <c r="C52" s="76" t="s">
        <v>360</v>
      </c>
      <c r="D52" s="76"/>
      <c r="E52" s="76"/>
      <c r="F52" s="76"/>
      <c r="G52" s="76"/>
      <c r="H52" s="77"/>
      <c r="I52" s="76" t="s">
        <v>361</v>
      </c>
      <c r="J52" s="76" t="s">
        <v>362</v>
      </c>
      <c r="K52" s="76" t="s">
        <v>576</v>
      </c>
      <c r="L52" s="76" t="s">
        <v>577</v>
      </c>
      <c r="M52" s="76" t="s">
        <v>578</v>
      </c>
      <c r="N52" s="76" t="s">
        <v>592</v>
      </c>
      <c r="O52" s="76" t="s">
        <v>367</v>
      </c>
      <c r="P52" s="76" t="s">
        <v>593</v>
      </c>
      <c r="Q52" s="76" t="s">
        <v>594</v>
      </c>
      <c r="R52" s="76" t="s">
        <v>369</v>
      </c>
      <c r="S52" s="78">
        <f>SUM(3750000*5)</f>
        <v>18750000</v>
      </c>
      <c r="T52" s="79">
        <v>46295</v>
      </c>
      <c r="U52" s="80" t="s">
        <v>595</v>
      </c>
      <c r="V52" s="76" t="s">
        <v>371</v>
      </c>
      <c r="W52" s="80" t="s">
        <v>582</v>
      </c>
      <c r="X52" s="80" t="s">
        <v>596</v>
      </c>
      <c r="Y52" s="80" t="s">
        <v>597</v>
      </c>
      <c r="Z52" s="80"/>
      <c r="AA52" s="80" t="s">
        <v>598</v>
      </c>
      <c r="AB52" s="82">
        <v>1</v>
      </c>
      <c r="AC52" s="80"/>
      <c r="AD52" s="81"/>
    </row>
    <row r="53" spans="1:30" ht="124.8" x14ac:dyDescent="0.3">
      <c r="A53" s="76"/>
      <c r="B53" s="76"/>
      <c r="C53" s="76" t="s">
        <v>457</v>
      </c>
      <c r="D53" s="76"/>
      <c r="E53" s="76"/>
      <c r="F53" s="76"/>
      <c r="G53" s="76"/>
      <c r="H53" s="77"/>
      <c r="I53" s="76" t="s">
        <v>361</v>
      </c>
      <c r="J53" s="76" t="s">
        <v>362</v>
      </c>
      <c r="K53" s="76" t="s">
        <v>576</v>
      </c>
      <c r="L53" s="76" t="s">
        <v>599</v>
      </c>
      <c r="M53" s="76" t="s">
        <v>600</v>
      </c>
      <c r="N53" s="76" t="s">
        <v>601</v>
      </c>
      <c r="O53" s="76" t="s">
        <v>367</v>
      </c>
      <c r="P53" s="76" t="s">
        <v>602</v>
      </c>
      <c r="Q53" s="76"/>
      <c r="R53" s="76" t="s">
        <v>369</v>
      </c>
      <c r="S53" s="78">
        <f>SUM(12650000000+6570000000)</f>
        <v>19220000000</v>
      </c>
      <c r="T53" s="79">
        <v>46295</v>
      </c>
      <c r="U53" s="80" t="s">
        <v>603</v>
      </c>
      <c r="V53" s="76" t="s">
        <v>371</v>
      </c>
      <c r="W53" s="80"/>
      <c r="X53" s="80"/>
      <c r="Y53" s="80"/>
      <c r="Z53" s="80"/>
      <c r="AA53" s="80"/>
      <c r="AB53" s="82"/>
      <c r="AC53" s="80"/>
      <c r="AD53" s="81"/>
    </row>
    <row r="54" spans="1:30" ht="409.6" x14ac:dyDescent="0.3">
      <c r="A54" s="76"/>
      <c r="B54" s="76"/>
      <c r="C54" s="76" t="s">
        <v>457</v>
      </c>
      <c r="D54" s="76"/>
      <c r="E54" s="76"/>
      <c r="F54" s="76"/>
      <c r="G54" s="76"/>
      <c r="H54" s="77"/>
      <c r="I54" s="76" t="s">
        <v>361</v>
      </c>
      <c r="J54" s="76" t="s">
        <v>362</v>
      </c>
      <c r="K54" s="76" t="s">
        <v>576</v>
      </c>
      <c r="L54" s="76" t="s">
        <v>599</v>
      </c>
      <c r="M54" s="76" t="s">
        <v>600</v>
      </c>
      <c r="N54" s="76" t="s">
        <v>604</v>
      </c>
      <c r="O54" s="76" t="s">
        <v>367</v>
      </c>
      <c r="P54" s="76" t="s">
        <v>602</v>
      </c>
      <c r="Q54" s="76" t="s">
        <v>605</v>
      </c>
      <c r="R54" s="76" t="s">
        <v>369</v>
      </c>
      <c r="S54" s="78">
        <f>SUM(1500000000*5)</f>
        <v>7500000000</v>
      </c>
      <c r="T54" s="79">
        <v>46295</v>
      </c>
      <c r="U54" s="80" t="s">
        <v>606</v>
      </c>
      <c r="V54" s="76" t="s">
        <v>607</v>
      </c>
      <c r="W54" s="80" t="s">
        <v>582</v>
      </c>
      <c r="X54" s="80" t="s">
        <v>372</v>
      </c>
      <c r="Y54" s="80" t="s">
        <v>608</v>
      </c>
      <c r="Z54" s="82">
        <v>0.02</v>
      </c>
      <c r="AA54" s="80"/>
      <c r="AB54" s="82"/>
      <c r="AC54" s="80"/>
      <c r="AD54" s="81"/>
    </row>
    <row r="55" spans="1:30" ht="409.6" x14ac:dyDescent="0.3">
      <c r="A55" s="76"/>
      <c r="B55" s="76"/>
      <c r="C55" s="76" t="s">
        <v>457</v>
      </c>
      <c r="D55" s="76"/>
      <c r="E55" s="76"/>
      <c r="F55" s="76"/>
      <c r="G55" s="76"/>
      <c r="H55" s="77"/>
      <c r="I55" s="76" t="s">
        <v>361</v>
      </c>
      <c r="J55" s="76" t="s">
        <v>362</v>
      </c>
      <c r="K55" s="76" t="s">
        <v>576</v>
      </c>
      <c r="L55" s="76" t="s">
        <v>599</v>
      </c>
      <c r="M55" s="76" t="s">
        <v>609</v>
      </c>
      <c r="N55" s="76" t="s">
        <v>610</v>
      </c>
      <c r="O55" s="76" t="s">
        <v>367</v>
      </c>
      <c r="P55" s="76" t="s">
        <v>602</v>
      </c>
      <c r="Q55" s="76" t="s">
        <v>611</v>
      </c>
      <c r="R55" s="76" t="s">
        <v>369</v>
      </c>
      <c r="S55" s="78">
        <f>SUM(3000000*5)</f>
        <v>15000000</v>
      </c>
      <c r="T55" s="79">
        <v>46295</v>
      </c>
      <c r="U55" s="80" t="s">
        <v>612</v>
      </c>
      <c r="V55" s="76" t="s">
        <v>371</v>
      </c>
      <c r="W55" s="80" t="s">
        <v>582</v>
      </c>
      <c r="X55" s="80" t="s">
        <v>382</v>
      </c>
      <c r="Y55" s="80"/>
      <c r="Z55" s="80"/>
      <c r="AA55" s="76" t="s">
        <v>374</v>
      </c>
      <c r="AB55" s="82" t="s">
        <v>613</v>
      </c>
      <c r="AC55" s="80"/>
      <c r="AD55" s="81"/>
    </row>
    <row r="56" spans="1:30" ht="409.6" x14ac:dyDescent="0.3">
      <c r="A56" s="76"/>
      <c r="B56" s="76"/>
      <c r="C56" s="76" t="s">
        <v>457</v>
      </c>
      <c r="D56" s="76"/>
      <c r="E56" s="76"/>
      <c r="F56" s="76"/>
      <c r="G56" s="76"/>
      <c r="H56" s="77"/>
      <c r="I56" s="76" t="s">
        <v>361</v>
      </c>
      <c r="J56" s="76" t="s">
        <v>362</v>
      </c>
      <c r="K56" s="76" t="s">
        <v>576</v>
      </c>
      <c r="L56" s="76" t="s">
        <v>599</v>
      </c>
      <c r="M56" s="76" t="s">
        <v>609</v>
      </c>
      <c r="N56" s="76" t="s">
        <v>614</v>
      </c>
      <c r="O56" s="76" t="s">
        <v>367</v>
      </c>
      <c r="P56" s="76" t="s">
        <v>602</v>
      </c>
      <c r="Q56" s="76" t="s">
        <v>615</v>
      </c>
      <c r="R56" s="76" t="s">
        <v>426</v>
      </c>
      <c r="S56" s="94">
        <v>0</v>
      </c>
      <c r="T56" s="76" t="s">
        <v>426</v>
      </c>
      <c r="U56" s="80" t="s">
        <v>616</v>
      </c>
      <c r="V56" s="76" t="s">
        <v>371</v>
      </c>
      <c r="W56" s="80"/>
      <c r="X56" s="80" t="s">
        <v>382</v>
      </c>
      <c r="Y56" s="80" t="s">
        <v>617</v>
      </c>
      <c r="Z56" s="80"/>
      <c r="AA56" s="80"/>
      <c r="AB56" s="82"/>
      <c r="AC56" s="80"/>
      <c r="AD56" s="81"/>
    </row>
    <row r="57" spans="1:30" ht="409.6" x14ac:dyDescent="0.3">
      <c r="A57" s="76"/>
      <c r="B57" s="76"/>
      <c r="C57" s="76" t="s">
        <v>457</v>
      </c>
      <c r="D57" s="76"/>
      <c r="E57" s="76"/>
      <c r="F57" s="76"/>
      <c r="G57" s="76"/>
      <c r="H57" s="77"/>
      <c r="I57" s="76" t="s">
        <v>361</v>
      </c>
      <c r="J57" s="76" t="s">
        <v>362</v>
      </c>
      <c r="K57" s="76" t="s">
        <v>576</v>
      </c>
      <c r="L57" s="76" t="s">
        <v>618</v>
      </c>
      <c r="M57" s="76" t="s">
        <v>609</v>
      </c>
      <c r="N57" s="76" t="s">
        <v>619</v>
      </c>
      <c r="O57" s="76" t="s">
        <v>367</v>
      </c>
      <c r="P57" s="76" t="s">
        <v>334</v>
      </c>
      <c r="Q57" s="76" t="s">
        <v>620</v>
      </c>
      <c r="R57" s="76" t="s">
        <v>369</v>
      </c>
      <c r="S57" s="78">
        <f>SUM(100000000*5)</f>
        <v>500000000</v>
      </c>
      <c r="T57" s="79">
        <v>46295</v>
      </c>
      <c r="U57" s="80" t="s">
        <v>621</v>
      </c>
      <c r="V57" s="76" t="s">
        <v>371</v>
      </c>
      <c r="W57" s="80"/>
      <c r="X57" s="80" t="s">
        <v>382</v>
      </c>
      <c r="Y57" s="80" t="s">
        <v>622</v>
      </c>
      <c r="Z57" s="82">
        <v>0.02</v>
      </c>
      <c r="AA57" s="80"/>
      <c r="AB57" s="82"/>
      <c r="AC57" s="80" t="s">
        <v>623</v>
      </c>
      <c r="AD57" s="81" t="s">
        <v>624</v>
      </c>
    </row>
    <row r="58" spans="1:30" ht="343.2" x14ac:dyDescent="0.3">
      <c r="A58" s="76"/>
      <c r="B58" s="76"/>
      <c r="C58" s="76" t="s">
        <v>360</v>
      </c>
      <c r="D58" s="76"/>
      <c r="E58" s="76"/>
      <c r="F58" s="76"/>
      <c r="G58" s="76"/>
      <c r="H58" s="77"/>
      <c r="I58" s="76" t="s">
        <v>361</v>
      </c>
      <c r="J58" s="76" t="s">
        <v>362</v>
      </c>
      <c r="K58" s="76" t="s">
        <v>576</v>
      </c>
      <c r="L58" s="76" t="s">
        <v>618</v>
      </c>
      <c r="M58" s="76" t="s">
        <v>609</v>
      </c>
      <c r="N58" s="76" t="s">
        <v>625</v>
      </c>
      <c r="O58" s="76" t="s">
        <v>367</v>
      </c>
      <c r="P58" s="76" t="s">
        <v>334</v>
      </c>
      <c r="Q58" s="76"/>
      <c r="R58" s="76" t="s">
        <v>426</v>
      </c>
      <c r="S58" s="94">
        <v>0</v>
      </c>
      <c r="T58" s="76" t="s">
        <v>426</v>
      </c>
      <c r="U58" s="80" t="s">
        <v>626</v>
      </c>
      <c r="V58" s="76"/>
      <c r="W58" s="80"/>
      <c r="X58" s="80" t="s">
        <v>627</v>
      </c>
      <c r="Y58" s="80" t="s">
        <v>628</v>
      </c>
      <c r="Z58" s="82"/>
      <c r="AA58" s="80"/>
      <c r="AB58" s="82"/>
      <c r="AC58" s="80"/>
      <c r="AD58" s="81"/>
    </row>
    <row r="59" spans="1:30" ht="140.4" x14ac:dyDescent="0.3">
      <c r="A59" s="76"/>
      <c r="B59" s="76"/>
      <c r="C59" s="76" t="s">
        <v>360</v>
      </c>
      <c r="D59" s="76"/>
      <c r="E59" s="76"/>
      <c r="F59" s="76"/>
      <c r="G59" s="76"/>
      <c r="H59" s="77"/>
      <c r="I59" s="76" t="s">
        <v>361</v>
      </c>
      <c r="J59" s="76" t="s">
        <v>362</v>
      </c>
      <c r="K59" s="76" t="s">
        <v>576</v>
      </c>
      <c r="L59" s="76" t="s">
        <v>618</v>
      </c>
      <c r="M59" s="76" t="s">
        <v>609</v>
      </c>
      <c r="N59" s="76">
        <v>25008</v>
      </c>
      <c r="O59" s="76" t="s">
        <v>367</v>
      </c>
      <c r="P59" s="76" t="s">
        <v>334</v>
      </c>
      <c r="Q59" s="76"/>
      <c r="R59" s="76" t="s">
        <v>426</v>
      </c>
      <c r="S59" s="94">
        <v>0</v>
      </c>
      <c r="T59" s="76" t="s">
        <v>426</v>
      </c>
      <c r="U59" s="80" t="s">
        <v>629</v>
      </c>
      <c r="V59" s="76" t="s">
        <v>371</v>
      </c>
      <c r="W59" s="80"/>
      <c r="X59" s="80"/>
      <c r="Y59" s="80"/>
      <c r="Z59" s="82"/>
      <c r="AA59" s="80"/>
      <c r="AB59" s="82"/>
      <c r="AC59" s="80"/>
      <c r="AD59" s="81"/>
    </row>
    <row r="60" spans="1:30" ht="156" x14ac:dyDescent="0.3">
      <c r="A60" s="76"/>
      <c r="B60" s="76"/>
      <c r="C60" s="76" t="s">
        <v>360</v>
      </c>
      <c r="D60" s="76"/>
      <c r="E60" s="76"/>
      <c r="F60" s="76"/>
      <c r="G60" s="76"/>
      <c r="H60" s="77"/>
      <c r="I60" s="76" t="s">
        <v>361</v>
      </c>
      <c r="J60" s="76" t="s">
        <v>362</v>
      </c>
      <c r="K60" s="76" t="s">
        <v>576</v>
      </c>
      <c r="L60" s="76" t="s">
        <v>618</v>
      </c>
      <c r="M60" s="76" t="s">
        <v>609</v>
      </c>
      <c r="N60" s="76" t="s">
        <v>630</v>
      </c>
      <c r="O60" s="76" t="s">
        <v>367</v>
      </c>
      <c r="P60" s="76" t="s">
        <v>631</v>
      </c>
      <c r="Q60" s="76" t="s">
        <v>632</v>
      </c>
      <c r="R60" s="76" t="s">
        <v>369</v>
      </c>
      <c r="S60" s="78">
        <f>SUM(50000000*5)</f>
        <v>250000000</v>
      </c>
      <c r="T60" s="79">
        <v>46295</v>
      </c>
      <c r="U60" s="80" t="s">
        <v>633</v>
      </c>
      <c r="V60" s="76"/>
      <c r="W60" s="80"/>
      <c r="X60" s="80" t="s">
        <v>382</v>
      </c>
      <c r="Y60" s="80" t="s">
        <v>634</v>
      </c>
      <c r="Z60" s="82">
        <v>1.4999999999999999E-2</v>
      </c>
      <c r="AA60" s="80"/>
      <c r="AB60" s="82"/>
      <c r="AC60" s="80"/>
      <c r="AD60" s="81"/>
    </row>
    <row r="61" spans="1:30" ht="218.4" x14ac:dyDescent="0.3">
      <c r="A61" s="76"/>
      <c r="B61" s="76"/>
      <c r="C61" s="76" t="s">
        <v>360</v>
      </c>
      <c r="D61" s="76"/>
      <c r="E61" s="76"/>
      <c r="F61" s="76"/>
      <c r="G61" s="76"/>
      <c r="H61" s="77"/>
      <c r="I61" s="76" t="s">
        <v>361</v>
      </c>
      <c r="J61" s="76" t="s">
        <v>362</v>
      </c>
      <c r="K61" s="76" t="s">
        <v>635</v>
      </c>
      <c r="L61" s="76" t="s">
        <v>618</v>
      </c>
      <c r="M61" s="76" t="s">
        <v>609</v>
      </c>
      <c r="N61" s="76" t="s">
        <v>636</v>
      </c>
      <c r="O61" s="76"/>
      <c r="P61" s="76"/>
      <c r="Q61" s="76"/>
      <c r="R61" s="76" t="s">
        <v>426</v>
      </c>
      <c r="S61" s="94">
        <v>0</v>
      </c>
      <c r="T61" s="76" t="s">
        <v>426</v>
      </c>
      <c r="U61" s="80" t="s">
        <v>637</v>
      </c>
      <c r="V61" s="76" t="s">
        <v>638</v>
      </c>
      <c r="W61" s="80"/>
      <c r="X61" s="80"/>
      <c r="Y61" s="80"/>
      <c r="Z61" s="82"/>
      <c r="AA61" s="80"/>
      <c r="AB61" s="82"/>
      <c r="AC61" s="80"/>
      <c r="AD61" s="81"/>
    </row>
    <row r="62" spans="1:30" ht="390" x14ac:dyDescent="0.3">
      <c r="A62" s="76"/>
      <c r="B62" s="76"/>
      <c r="C62" s="76" t="s">
        <v>360</v>
      </c>
      <c r="D62" s="76"/>
      <c r="E62" s="76"/>
      <c r="F62" s="76"/>
      <c r="G62" s="76"/>
      <c r="H62" s="77"/>
      <c r="I62" s="76" t="s">
        <v>361</v>
      </c>
      <c r="J62" s="76" t="s">
        <v>362</v>
      </c>
      <c r="K62" s="76" t="s">
        <v>635</v>
      </c>
      <c r="L62" s="76" t="s">
        <v>618</v>
      </c>
      <c r="M62" s="76" t="s">
        <v>609</v>
      </c>
      <c r="N62" s="76" t="s">
        <v>639</v>
      </c>
      <c r="O62" s="76"/>
      <c r="P62" s="76"/>
      <c r="Q62" s="76"/>
      <c r="R62" s="76" t="s">
        <v>388</v>
      </c>
      <c r="S62" s="78">
        <f>SUM(206000000*5)</f>
        <v>1030000000</v>
      </c>
      <c r="T62" s="79">
        <v>46295</v>
      </c>
      <c r="U62" s="80" t="s">
        <v>640</v>
      </c>
      <c r="V62" s="76" t="s">
        <v>638</v>
      </c>
      <c r="W62" s="80" t="s">
        <v>582</v>
      </c>
      <c r="X62" s="80"/>
      <c r="Y62" s="80"/>
      <c r="Z62" s="82"/>
      <c r="AA62" s="80"/>
      <c r="AB62" s="82"/>
      <c r="AC62" s="80"/>
      <c r="AD62" s="81"/>
    </row>
    <row r="63" spans="1:30" ht="409.6" x14ac:dyDescent="0.3">
      <c r="A63" s="76"/>
      <c r="B63" s="76" t="s">
        <v>360</v>
      </c>
      <c r="C63" s="76"/>
      <c r="D63" s="76" t="s">
        <v>360</v>
      </c>
      <c r="E63" s="76"/>
      <c r="F63" s="76"/>
      <c r="G63" s="76"/>
      <c r="H63" s="77"/>
      <c r="I63" s="76" t="s">
        <v>361</v>
      </c>
      <c r="J63" s="76" t="s">
        <v>434</v>
      </c>
      <c r="K63" s="76" t="s">
        <v>384</v>
      </c>
      <c r="L63" s="76" t="s">
        <v>641</v>
      </c>
      <c r="M63" s="76" t="s">
        <v>642</v>
      </c>
      <c r="N63" s="76" t="s">
        <v>643</v>
      </c>
      <c r="O63" s="76" t="s">
        <v>644</v>
      </c>
      <c r="P63" s="76" t="s">
        <v>645</v>
      </c>
      <c r="Q63" s="76"/>
      <c r="R63" s="76" t="s">
        <v>388</v>
      </c>
      <c r="S63" s="83">
        <v>5000000000</v>
      </c>
      <c r="T63" s="79">
        <v>46295</v>
      </c>
      <c r="U63" s="80" t="s">
        <v>646</v>
      </c>
      <c r="V63" s="76"/>
      <c r="W63" s="80" t="s">
        <v>647</v>
      </c>
      <c r="X63" s="80" t="s">
        <v>382</v>
      </c>
      <c r="Y63" s="80" t="s">
        <v>648</v>
      </c>
      <c r="Z63" s="82">
        <v>0.05</v>
      </c>
      <c r="AA63" s="80" t="s">
        <v>649</v>
      </c>
      <c r="AB63" s="82" t="s">
        <v>650</v>
      </c>
      <c r="AC63" s="80"/>
      <c r="AD63" s="81" t="s">
        <v>651</v>
      </c>
    </row>
    <row r="64" spans="1:30" ht="93.6" x14ac:dyDescent="0.3">
      <c r="A64" s="76"/>
      <c r="B64" s="76" t="s">
        <v>360</v>
      </c>
      <c r="C64" s="76"/>
      <c r="D64" s="76" t="s">
        <v>360</v>
      </c>
      <c r="E64" s="76"/>
      <c r="F64" s="76"/>
      <c r="G64" s="76"/>
      <c r="H64" s="77"/>
      <c r="I64" s="76" t="s">
        <v>361</v>
      </c>
      <c r="J64" s="76" t="s">
        <v>434</v>
      </c>
      <c r="K64" s="76" t="s">
        <v>384</v>
      </c>
      <c r="L64" s="76" t="s">
        <v>641</v>
      </c>
      <c r="M64" s="76" t="s">
        <v>642</v>
      </c>
      <c r="N64" s="76" t="s">
        <v>652</v>
      </c>
      <c r="O64" s="76" t="s">
        <v>644</v>
      </c>
      <c r="P64" s="76" t="s">
        <v>645</v>
      </c>
      <c r="Q64" s="76"/>
      <c r="R64" s="76" t="s">
        <v>426</v>
      </c>
      <c r="S64" s="83"/>
      <c r="T64" s="76"/>
      <c r="U64" s="80" t="s">
        <v>653</v>
      </c>
      <c r="V64" s="76"/>
      <c r="W64" s="80"/>
      <c r="X64" s="80"/>
      <c r="Y64" s="80"/>
      <c r="Z64" s="80"/>
      <c r="AA64" s="80"/>
      <c r="AB64" s="80"/>
      <c r="AC64" s="80"/>
      <c r="AD64" s="81"/>
    </row>
    <row r="65" spans="1:30" ht="218.4" x14ac:dyDescent="0.3">
      <c r="A65" s="76"/>
      <c r="B65" s="76" t="s">
        <v>360</v>
      </c>
      <c r="C65" s="76"/>
      <c r="D65" s="76" t="s">
        <v>360</v>
      </c>
      <c r="E65" s="76"/>
      <c r="F65" s="76"/>
      <c r="G65" s="76"/>
      <c r="H65" s="77"/>
      <c r="I65" s="76" t="s">
        <v>361</v>
      </c>
      <c r="J65" s="76" t="s">
        <v>434</v>
      </c>
      <c r="K65" s="76" t="s">
        <v>384</v>
      </c>
      <c r="L65" s="76" t="s">
        <v>641</v>
      </c>
      <c r="M65" s="76" t="s">
        <v>642</v>
      </c>
      <c r="N65" s="76" t="s">
        <v>654</v>
      </c>
      <c r="O65" s="76" t="s">
        <v>644</v>
      </c>
      <c r="P65" s="76" t="s">
        <v>645</v>
      </c>
      <c r="Q65" s="76" t="s">
        <v>655</v>
      </c>
      <c r="R65" s="76" t="s">
        <v>388</v>
      </c>
      <c r="S65" s="83">
        <f>SUM(5000000000*5)</f>
        <v>25000000000</v>
      </c>
      <c r="T65" s="79">
        <v>46295</v>
      </c>
      <c r="U65" s="80" t="s">
        <v>656</v>
      </c>
      <c r="V65" s="76" t="s">
        <v>371</v>
      </c>
      <c r="W65" s="80" t="s">
        <v>549</v>
      </c>
      <c r="X65" s="80" t="s">
        <v>382</v>
      </c>
      <c r="Y65" s="80" t="s">
        <v>657</v>
      </c>
      <c r="Z65" s="80"/>
      <c r="AA65" s="80"/>
      <c r="AB65" s="80" t="s">
        <v>658</v>
      </c>
      <c r="AC65" s="80"/>
      <c r="AD65" s="81"/>
    </row>
    <row r="66" spans="1:30" ht="171.6" x14ac:dyDescent="0.3">
      <c r="A66" s="76"/>
      <c r="B66" s="76" t="s">
        <v>360</v>
      </c>
      <c r="C66" s="76"/>
      <c r="D66" s="76"/>
      <c r="E66" s="76"/>
      <c r="F66" s="76"/>
      <c r="G66" s="76"/>
      <c r="H66" s="77"/>
      <c r="I66" s="76" t="s">
        <v>361</v>
      </c>
      <c r="J66" s="76" t="s">
        <v>434</v>
      </c>
      <c r="K66" s="76" t="s">
        <v>384</v>
      </c>
      <c r="L66" s="76" t="s">
        <v>641</v>
      </c>
      <c r="M66" s="76" t="s">
        <v>642</v>
      </c>
      <c r="N66" s="76" t="s">
        <v>654</v>
      </c>
      <c r="O66" s="76" t="s">
        <v>644</v>
      </c>
      <c r="P66" s="76" t="s">
        <v>659</v>
      </c>
      <c r="Q66" s="76" t="s">
        <v>660</v>
      </c>
      <c r="R66" s="76" t="s">
        <v>426</v>
      </c>
      <c r="S66" s="83" t="s">
        <v>426</v>
      </c>
      <c r="T66" s="76" t="s">
        <v>426</v>
      </c>
      <c r="U66" s="80" t="s">
        <v>661</v>
      </c>
      <c r="V66" s="76"/>
      <c r="W66" s="80"/>
      <c r="X66" s="80" t="s">
        <v>596</v>
      </c>
      <c r="Y66" s="80"/>
      <c r="Z66" s="80"/>
      <c r="AA66" s="80"/>
      <c r="AB66" s="80"/>
      <c r="AC66" s="80"/>
      <c r="AD66" s="81"/>
    </row>
    <row r="67" spans="1:30" ht="280.8" x14ac:dyDescent="0.3">
      <c r="A67" s="76" t="s">
        <v>360</v>
      </c>
      <c r="B67" s="76" t="s">
        <v>360</v>
      </c>
      <c r="C67" s="76"/>
      <c r="D67" s="76"/>
      <c r="E67" s="76"/>
      <c r="F67" s="76"/>
      <c r="G67" s="76"/>
      <c r="H67" s="77"/>
      <c r="I67" s="76" t="s">
        <v>361</v>
      </c>
      <c r="J67" s="76" t="s">
        <v>434</v>
      </c>
      <c r="K67" s="76" t="s">
        <v>384</v>
      </c>
      <c r="L67" s="76" t="s">
        <v>641</v>
      </c>
      <c r="M67" s="76" t="s">
        <v>642</v>
      </c>
      <c r="N67" s="76" t="s">
        <v>662</v>
      </c>
      <c r="O67" s="76" t="s">
        <v>644</v>
      </c>
      <c r="P67" s="76" t="s">
        <v>333</v>
      </c>
      <c r="Q67" s="76" t="s">
        <v>426</v>
      </c>
      <c r="R67" s="76" t="s">
        <v>426</v>
      </c>
      <c r="S67" s="76" t="s">
        <v>426</v>
      </c>
      <c r="T67" s="76" t="s">
        <v>426</v>
      </c>
      <c r="U67" s="80" t="s">
        <v>663</v>
      </c>
      <c r="V67" s="76"/>
      <c r="W67" s="80"/>
      <c r="X67" s="80" t="s">
        <v>329</v>
      </c>
      <c r="Y67" s="80" t="s">
        <v>664</v>
      </c>
      <c r="Z67" s="80"/>
      <c r="AA67" s="80"/>
      <c r="AB67" s="80"/>
      <c r="AC67" s="80"/>
      <c r="AD67" s="81"/>
    </row>
    <row r="68" spans="1:30" ht="296.39999999999998" x14ac:dyDescent="0.3">
      <c r="A68" s="76"/>
      <c r="B68" s="76" t="s">
        <v>360</v>
      </c>
      <c r="C68" s="76"/>
      <c r="D68" s="76"/>
      <c r="E68" s="76"/>
      <c r="F68" s="76"/>
      <c r="G68" s="76"/>
      <c r="H68" s="77"/>
      <c r="I68" s="76" t="s">
        <v>361</v>
      </c>
      <c r="J68" s="76" t="s">
        <v>434</v>
      </c>
      <c r="K68" s="76" t="s">
        <v>384</v>
      </c>
      <c r="L68" s="76" t="s">
        <v>641</v>
      </c>
      <c r="M68" s="76" t="s">
        <v>642</v>
      </c>
      <c r="N68" s="76" t="s">
        <v>665</v>
      </c>
      <c r="O68" s="76" t="s">
        <v>644</v>
      </c>
      <c r="P68" s="76" t="s">
        <v>666</v>
      </c>
      <c r="Q68" s="76" t="s">
        <v>426</v>
      </c>
      <c r="R68" s="76" t="s">
        <v>388</v>
      </c>
      <c r="S68" s="83">
        <v>2500000000</v>
      </c>
      <c r="T68" s="79">
        <v>46295</v>
      </c>
      <c r="U68" s="80" t="s">
        <v>667</v>
      </c>
      <c r="V68" s="76"/>
      <c r="W68" s="80"/>
      <c r="X68" s="80"/>
      <c r="Y68" s="80"/>
      <c r="Z68" s="80"/>
      <c r="AA68" s="80"/>
      <c r="AB68" s="80"/>
      <c r="AC68" s="80"/>
      <c r="AD68" s="81"/>
    </row>
    <row r="69" spans="1:30" ht="374.4" x14ac:dyDescent="0.3">
      <c r="A69" s="76"/>
      <c r="B69" s="76" t="s">
        <v>360</v>
      </c>
      <c r="C69" s="76"/>
      <c r="D69" s="76"/>
      <c r="E69" s="76"/>
      <c r="F69" s="76"/>
      <c r="G69" s="76"/>
      <c r="H69" s="77"/>
      <c r="I69" s="76" t="s">
        <v>361</v>
      </c>
      <c r="J69" s="76" t="s">
        <v>434</v>
      </c>
      <c r="K69" s="76" t="s">
        <v>384</v>
      </c>
      <c r="L69" s="76" t="s">
        <v>641</v>
      </c>
      <c r="M69" s="76" t="s">
        <v>642</v>
      </c>
      <c r="N69" s="76" t="s">
        <v>668</v>
      </c>
      <c r="O69" s="76" t="s">
        <v>644</v>
      </c>
      <c r="P69" s="76" t="s">
        <v>666</v>
      </c>
      <c r="Q69" s="76" t="s">
        <v>669</v>
      </c>
      <c r="R69" s="76" t="s">
        <v>388</v>
      </c>
      <c r="S69" s="83">
        <v>50000000</v>
      </c>
      <c r="T69" s="79"/>
      <c r="U69" s="80" t="s">
        <v>670</v>
      </c>
      <c r="V69" s="76" t="s">
        <v>371</v>
      </c>
      <c r="W69" s="80"/>
      <c r="X69" s="80"/>
      <c r="Y69" s="80" t="s">
        <v>671</v>
      </c>
      <c r="Z69" s="95">
        <f>SUM(10000000*5)</f>
        <v>50000000</v>
      </c>
      <c r="AA69" s="80"/>
      <c r="AB69" s="80"/>
      <c r="AC69" s="80"/>
      <c r="AD69" s="81"/>
    </row>
    <row r="70" spans="1:30" ht="343.2" x14ac:dyDescent="0.3">
      <c r="A70" s="76" t="s">
        <v>360</v>
      </c>
      <c r="B70" s="76" t="s">
        <v>360</v>
      </c>
      <c r="C70" s="76"/>
      <c r="D70" s="76" t="s">
        <v>360</v>
      </c>
      <c r="E70" s="76"/>
      <c r="F70" s="76"/>
      <c r="G70" s="76"/>
      <c r="H70" s="77"/>
      <c r="I70" s="76" t="s">
        <v>361</v>
      </c>
      <c r="J70" s="76" t="s">
        <v>434</v>
      </c>
      <c r="K70" s="76" t="s">
        <v>384</v>
      </c>
      <c r="L70" s="76" t="s">
        <v>641</v>
      </c>
      <c r="M70" s="76" t="s">
        <v>642</v>
      </c>
      <c r="N70" s="76" t="s">
        <v>672</v>
      </c>
      <c r="O70" s="76" t="s">
        <v>644</v>
      </c>
      <c r="P70" s="76" t="s">
        <v>673</v>
      </c>
      <c r="Q70" s="76" t="s">
        <v>674</v>
      </c>
      <c r="R70" s="76" t="s">
        <v>675</v>
      </c>
      <c r="S70" s="83">
        <v>3000000000</v>
      </c>
      <c r="T70" s="79">
        <v>46295</v>
      </c>
      <c r="U70" s="80" t="s">
        <v>676</v>
      </c>
      <c r="V70" s="76" t="s">
        <v>607</v>
      </c>
      <c r="W70" s="80"/>
      <c r="X70" s="80"/>
      <c r="Y70" s="80"/>
      <c r="Z70" s="80"/>
      <c r="AA70" s="80"/>
      <c r="AB70" s="80"/>
      <c r="AC70" s="80"/>
      <c r="AD70" s="81"/>
    </row>
    <row r="71" spans="1:30" ht="265.2" x14ac:dyDescent="0.3">
      <c r="A71" s="76"/>
      <c r="B71" s="76" t="s">
        <v>457</v>
      </c>
      <c r="C71" s="76"/>
      <c r="D71" s="76" t="s">
        <v>457</v>
      </c>
      <c r="E71" s="76"/>
      <c r="F71" s="76"/>
      <c r="G71" s="76"/>
      <c r="H71" s="77"/>
      <c r="I71" s="76" t="s">
        <v>361</v>
      </c>
      <c r="J71" s="76" t="s">
        <v>434</v>
      </c>
      <c r="K71" s="76" t="s">
        <v>384</v>
      </c>
      <c r="L71" s="76" t="s">
        <v>641</v>
      </c>
      <c r="M71" s="76" t="s">
        <v>642</v>
      </c>
      <c r="N71" s="76" t="s">
        <v>677</v>
      </c>
      <c r="O71" s="76" t="s">
        <v>644</v>
      </c>
      <c r="P71" s="76" t="s">
        <v>678</v>
      </c>
      <c r="Q71" s="76" t="s">
        <v>679</v>
      </c>
      <c r="R71" s="83" t="s">
        <v>426</v>
      </c>
      <c r="S71" s="83">
        <v>50000000</v>
      </c>
      <c r="T71" s="84">
        <v>45961</v>
      </c>
      <c r="U71" s="80" t="s">
        <v>680</v>
      </c>
      <c r="V71" s="76" t="s">
        <v>371</v>
      </c>
      <c r="W71" s="80"/>
      <c r="X71" s="80" t="s">
        <v>329</v>
      </c>
      <c r="Y71" s="80"/>
      <c r="Z71" s="80"/>
      <c r="AA71" s="80"/>
      <c r="AB71" s="80"/>
      <c r="AC71" s="80"/>
      <c r="AD71" s="81"/>
    </row>
    <row r="72" spans="1:30" ht="202.8" x14ac:dyDescent="0.3">
      <c r="A72" s="76" t="s">
        <v>360</v>
      </c>
      <c r="B72" s="76" t="s">
        <v>360</v>
      </c>
      <c r="C72" s="76" t="s">
        <v>360</v>
      </c>
      <c r="D72" s="76"/>
      <c r="E72" s="76"/>
      <c r="F72" s="76"/>
      <c r="G72" s="76" t="s">
        <v>360</v>
      </c>
      <c r="H72" s="77"/>
      <c r="I72" s="76" t="s">
        <v>361</v>
      </c>
      <c r="J72" s="76" t="s">
        <v>434</v>
      </c>
      <c r="K72" s="76" t="s">
        <v>384</v>
      </c>
      <c r="L72" s="76" t="s">
        <v>641</v>
      </c>
      <c r="M72" s="76" t="s">
        <v>642</v>
      </c>
      <c r="N72" s="76" t="s">
        <v>681</v>
      </c>
      <c r="O72" s="76" t="s">
        <v>644</v>
      </c>
      <c r="P72" s="76" t="s">
        <v>682</v>
      </c>
      <c r="Q72" s="76" t="s">
        <v>683</v>
      </c>
      <c r="R72" s="76" t="s">
        <v>675</v>
      </c>
      <c r="S72" s="83">
        <v>500000000</v>
      </c>
      <c r="T72" s="79">
        <v>46295</v>
      </c>
      <c r="U72" s="80" t="s">
        <v>684</v>
      </c>
      <c r="V72" s="76" t="s">
        <v>607</v>
      </c>
      <c r="W72" s="80" t="s">
        <v>647</v>
      </c>
      <c r="X72" s="80" t="s">
        <v>329</v>
      </c>
      <c r="Y72" s="80" t="s">
        <v>685</v>
      </c>
      <c r="Z72" s="80"/>
      <c r="AA72" s="80" t="s">
        <v>686</v>
      </c>
      <c r="AB72" s="80" t="s">
        <v>687</v>
      </c>
      <c r="AC72" s="80"/>
      <c r="AD72" s="81"/>
    </row>
    <row r="73" spans="1:30" ht="171.6" x14ac:dyDescent="0.3">
      <c r="A73" s="76"/>
      <c r="B73" s="76" t="s">
        <v>360</v>
      </c>
      <c r="C73" s="76"/>
      <c r="D73" s="76"/>
      <c r="E73" s="76"/>
      <c r="F73" s="76"/>
      <c r="G73" s="76"/>
      <c r="H73" s="77"/>
      <c r="I73" s="76" t="s">
        <v>361</v>
      </c>
      <c r="J73" s="76" t="s">
        <v>434</v>
      </c>
      <c r="K73" s="76" t="s">
        <v>384</v>
      </c>
      <c r="L73" s="76" t="s">
        <v>641</v>
      </c>
      <c r="M73" s="76" t="s">
        <v>642</v>
      </c>
      <c r="N73" s="76" t="s">
        <v>688</v>
      </c>
      <c r="O73" s="76" t="s">
        <v>644</v>
      </c>
      <c r="P73" s="76" t="s">
        <v>333</v>
      </c>
      <c r="Q73" s="76"/>
      <c r="R73" s="76" t="s">
        <v>675</v>
      </c>
      <c r="S73" s="94">
        <v>0</v>
      </c>
      <c r="T73" s="76" t="s">
        <v>426</v>
      </c>
      <c r="U73" s="80" t="s">
        <v>689</v>
      </c>
      <c r="V73" s="76" t="s">
        <v>607</v>
      </c>
      <c r="W73" s="80"/>
      <c r="X73" s="80" t="s">
        <v>596</v>
      </c>
      <c r="Y73" s="80"/>
      <c r="Z73" s="80"/>
      <c r="AA73" s="80"/>
      <c r="AB73" s="80"/>
      <c r="AC73" s="80"/>
      <c r="AD73" s="81"/>
    </row>
    <row r="74" spans="1:30" ht="109.2" x14ac:dyDescent="0.3">
      <c r="A74" s="76" t="s">
        <v>360</v>
      </c>
      <c r="B74" s="76" t="s">
        <v>360</v>
      </c>
      <c r="C74" s="76" t="s">
        <v>360</v>
      </c>
      <c r="D74" s="76" t="s">
        <v>360</v>
      </c>
      <c r="E74" s="76"/>
      <c r="F74" s="76"/>
      <c r="G74" s="76"/>
      <c r="H74" s="77"/>
      <c r="I74" s="76" t="s">
        <v>361</v>
      </c>
      <c r="J74" s="76" t="s">
        <v>434</v>
      </c>
      <c r="K74" s="76" t="s">
        <v>384</v>
      </c>
      <c r="L74" s="76" t="s">
        <v>641</v>
      </c>
      <c r="M74" s="76" t="s">
        <v>642</v>
      </c>
      <c r="N74" s="76" t="s">
        <v>690</v>
      </c>
      <c r="O74" s="76" t="s">
        <v>644</v>
      </c>
      <c r="P74" s="76" t="s">
        <v>691</v>
      </c>
      <c r="Q74" s="76" t="s">
        <v>426</v>
      </c>
      <c r="R74" s="76" t="s">
        <v>426</v>
      </c>
      <c r="S74" s="76" t="s">
        <v>426</v>
      </c>
      <c r="T74" s="76" t="s">
        <v>426</v>
      </c>
      <c r="U74" s="80" t="s">
        <v>692</v>
      </c>
      <c r="V74" s="76" t="s">
        <v>371</v>
      </c>
      <c r="W74" s="80"/>
      <c r="X74" s="80" t="s">
        <v>596</v>
      </c>
      <c r="Y74" s="80"/>
      <c r="Z74" s="80"/>
      <c r="AA74" s="80"/>
      <c r="AB74" s="80"/>
      <c r="AC74" s="80"/>
      <c r="AD74" s="81"/>
    </row>
    <row r="75" spans="1:30" ht="409.6" x14ac:dyDescent="0.3">
      <c r="A75" s="76" t="s">
        <v>360</v>
      </c>
      <c r="B75" s="76" t="s">
        <v>360</v>
      </c>
      <c r="C75" s="76" t="s">
        <v>360</v>
      </c>
      <c r="D75" s="76" t="s">
        <v>360</v>
      </c>
      <c r="E75" s="76"/>
      <c r="F75" s="76"/>
      <c r="G75" s="76"/>
      <c r="H75" s="77"/>
      <c r="I75" s="76" t="s">
        <v>361</v>
      </c>
      <c r="J75" s="76" t="s">
        <v>434</v>
      </c>
      <c r="K75" s="76" t="s">
        <v>384</v>
      </c>
      <c r="L75" s="76" t="s">
        <v>641</v>
      </c>
      <c r="M75" s="76" t="s">
        <v>642</v>
      </c>
      <c r="N75" s="76" t="s">
        <v>693</v>
      </c>
      <c r="O75" s="76" t="s">
        <v>644</v>
      </c>
      <c r="P75" s="76" t="s">
        <v>694</v>
      </c>
      <c r="Q75" s="76" t="s">
        <v>426</v>
      </c>
      <c r="R75" s="76" t="s">
        <v>426</v>
      </c>
      <c r="S75" s="76" t="s">
        <v>426</v>
      </c>
      <c r="T75" s="76" t="s">
        <v>426</v>
      </c>
      <c r="U75" s="80" t="s">
        <v>695</v>
      </c>
      <c r="V75" s="76" t="s">
        <v>371</v>
      </c>
      <c r="W75" s="80"/>
      <c r="X75" s="80"/>
      <c r="Y75" s="80"/>
      <c r="Z75" s="80"/>
      <c r="AA75" s="80"/>
      <c r="AB75" s="80"/>
      <c r="AC75" s="80"/>
      <c r="AD75" s="81" t="s">
        <v>696</v>
      </c>
    </row>
    <row r="76" spans="1:30" ht="409.6" x14ac:dyDescent="0.3">
      <c r="A76" s="76"/>
      <c r="B76" s="76" t="s">
        <v>360</v>
      </c>
      <c r="C76" s="76"/>
      <c r="D76" s="76"/>
      <c r="E76" s="76"/>
      <c r="F76" s="76"/>
      <c r="G76" s="76"/>
      <c r="H76" s="77"/>
      <c r="I76" s="76" t="s">
        <v>361</v>
      </c>
      <c r="J76" s="76" t="s">
        <v>434</v>
      </c>
      <c r="K76" s="76" t="s">
        <v>384</v>
      </c>
      <c r="L76" s="76" t="s">
        <v>641</v>
      </c>
      <c r="M76" s="76" t="s">
        <v>642</v>
      </c>
      <c r="N76" s="76" t="s">
        <v>697</v>
      </c>
      <c r="O76" s="76" t="s">
        <v>644</v>
      </c>
      <c r="P76" s="76" t="s">
        <v>666</v>
      </c>
      <c r="Q76" s="76"/>
      <c r="R76" s="76" t="s">
        <v>675</v>
      </c>
      <c r="S76" s="83">
        <f>SUM(1000000000+10000000+100000000)</f>
        <v>1110000000</v>
      </c>
      <c r="T76" s="76"/>
      <c r="U76" s="80" t="s">
        <v>698</v>
      </c>
      <c r="V76" s="76" t="s">
        <v>607</v>
      </c>
      <c r="W76" s="80"/>
      <c r="X76" s="80" t="s">
        <v>596</v>
      </c>
      <c r="Y76" s="80"/>
      <c r="Z76" s="80"/>
      <c r="AA76" s="80"/>
      <c r="AB76" s="80"/>
      <c r="AC76" s="80"/>
      <c r="AD76" s="81"/>
    </row>
    <row r="77" spans="1:30" ht="124.8" x14ac:dyDescent="0.3">
      <c r="A77" s="76"/>
      <c r="B77" s="76" t="s">
        <v>360</v>
      </c>
      <c r="C77" s="76"/>
      <c r="D77" s="76"/>
      <c r="E77" s="76"/>
      <c r="F77" s="76"/>
      <c r="G77" s="76"/>
      <c r="H77" s="77"/>
      <c r="I77" s="76" t="s">
        <v>361</v>
      </c>
      <c r="J77" s="76" t="s">
        <v>434</v>
      </c>
      <c r="K77" s="76" t="s">
        <v>384</v>
      </c>
      <c r="L77" s="76" t="s">
        <v>641</v>
      </c>
      <c r="M77" s="76" t="s">
        <v>699</v>
      </c>
      <c r="N77" s="76" t="s">
        <v>700</v>
      </c>
      <c r="O77" s="76" t="s">
        <v>701</v>
      </c>
      <c r="P77" s="76" t="s">
        <v>702</v>
      </c>
      <c r="Q77" s="76" t="s">
        <v>426</v>
      </c>
      <c r="R77" s="76" t="s">
        <v>426</v>
      </c>
      <c r="S77" s="76" t="s">
        <v>426</v>
      </c>
      <c r="T77" s="76" t="s">
        <v>426</v>
      </c>
      <c r="U77" s="80" t="s">
        <v>703</v>
      </c>
      <c r="V77" s="76"/>
      <c r="W77" s="80"/>
      <c r="X77" s="80" t="s">
        <v>704</v>
      </c>
      <c r="Y77" s="80"/>
      <c r="Z77" s="80"/>
      <c r="AA77" s="80"/>
      <c r="AB77" s="80"/>
      <c r="AC77" s="80"/>
      <c r="AD77" s="81"/>
    </row>
    <row r="78" spans="1:30" ht="78" x14ac:dyDescent="0.3">
      <c r="A78" s="76"/>
      <c r="B78" s="76" t="s">
        <v>360</v>
      </c>
      <c r="C78" s="76"/>
      <c r="D78" s="76"/>
      <c r="E78" s="76"/>
      <c r="F78" s="76"/>
      <c r="G78" s="76"/>
      <c r="H78" s="77"/>
      <c r="I78" s="76" t="s">
        <v>361</v>
      </c>
      <c r="J78" s="76" t="s">
        <v>434</v>
      </c>
      <c r="K78" s="76" t="s">
        <v>384</v>
      </c>
      <c r="L78" s="76" t="s">
        <v>641</v>
      </c>
      <c r="M78" s="76" t="s">
        <v>699</v>
      </c>
      <c r="N78" s="76" t="s">
        <v>705</v>
      </c>
      <c r="O78" s="76" t="s">
        <v>706</v>
      </c>
      <c r="P78" s="76" t="s">
        <v>702</v>
      </c>
      <c r="Q78" s="76" t="s">
        <v>707</v>
      </c>
      <c r="R78" s="76"/>
      <c r="S78" s="83"/>
      <c r="T78" s="76"/>
      <c r="U78" s="80" t="s">
        <v>708</v>
      </c>
      <c r="V78" s="76" t="s">
        <v>371</v>
      </c>
      <c r="W78" s="80"/>
      <c r="X78" s="80"/>
      <c r="Y78" s="80"/>
      <c r="Z78" s="80"/>
      <c r="AA78" s="80"/>
      <c r="AB78" s="80"/>
      <c r="AC78" s="80"/>
      <c r="AD78" s="81"/>
    </row>
    <row r="79" spans="1:30" ht="265.2" x14ac:dyDescent="0.3">
      <c r="A79" s="76"/>
      <c r="B79" s="76" t="s">
        <v>360</v>
      </c>
      <c r="C79" s="76"/>
      <c r="D79" s="76"/>
      <c r="E79" s="76"/>
      <c r="F79" s="76"/>
      <c r="G79" s="76"/>
      <c r="H79" s="77"/>
      <c r="I79" s="76" t="s">
        <v>361</v>
      </c>
      <c r="J79" s="76" t="s">
        <v>434</v>
      </c>
      <c r="K79" s="76" t="s">
        <v>384</v>
      </c>
      <c r="L79" s="76" t="s">
        <v>641</v>
      </c>
      <c r="M79" s="76" t="s">
        <v>699</v>
      </c>
      <c r="N79" s="76" t="s">
        <v>709</v>
      </c>
      <c r="O79" s="76" t="s">
        <v>710</v>
      </c>
      <c r="P79" s="76" t="s">
        <v>702</v>
      </c>
      <c r="Q79" s="76" t="s">
        <v>426</v>
      </c>
      <c r="R79" s="76" t="s">
        <v>426</v>
      </c>
      <c r="S79" s="76" t="s">
        <v>426</v>
      </c>
      <c r="T79" s="76" t="s">
        <v>426</v>
      </c>
      <c r="U79" s="80" t="s">
        <v>711</v>
      </c>
      <c r="V79" s="76" t="s">
        <v>371</v>
      </c>
      <c r="W79" s="80"/>
      <c r="X79" s="80" t="s">
        <v>704</v>
      </c>
      <c r="Y79" s="80"/>
      <c r="Z79" s="80"/>
      <c r="AA79" s="80"/>
      <c r="AB79" s="80"/>
      <c r="AC79" s="80"/>
      <c r="AD79" s="81"/>
    </row>
    <row r="80" spans="1:30" ht="409.6" x14ac:dyDescent="0.3">
      <c r="A80" s="76"/>
      <c r="B80" s="76" t="s">
        <v>360</v>
      </c>
      <c r="C80" s="76"/>
      <c r="D80" s="76"/>
      <c r="E80" s="76"/>
      <c r="F80" s="76"/>
      <c r="G80" s="76"/>
      <c r="H80" s="77"/>
      <c r="I80" s="76" t="s">
        <v>361</v>
      </c>
      <c r="J80" s="76" t="s">
        <v>434</v>
      </c>
      <c r="K80" s="76" t="s">
        <v>384</v>
      </c>
      <c r="L80" s="76" t="s">
        <v>641</v>
      </c>
      <c r="M80" s="76" t="s">
        <v>699</v>
      </c>
      <c r="N80" s="76" t="s">
        <v>712</v>
      </c>
      <c r="O80" s="76" t="s">
        <v>713</v>
      </c>
      <c r="P80" s="76" t="s">
        <v>702</v>
      </c>
      <c r="Q80" s="76" t="s">
        <v>714</v>
      </c>
      <c r="R80" s="76" t="s">
        <v>388</v>
      </c>
      <c r="S80" s="83">
        <v>250000000</v>
      </c>
      <c r="T80" s="79">
        <v>46295</v>
      </c>
      <c r="U80" s="80" t="s">
        <v>715</v>
      </c>
      <c r="V80" s="76" t="s">
        <v>371</v>
      </c>
      <c r="W80" s="80" t="s">
        <v>716</v>
      </c>
      <c r="X80" s="80" t="s">
        <v>717</v>
      </c>
      <c r="Y80" s="80" t="s">
        <v>718</v>
      </c>
      <c r="Z80" s="80"/>
      <c r="AA80" s="80"/>
      <c r="AB80" s="80"/>
      <c r="AC80" s="80"/>
      <c r="AD80" s="81"/>
    </row>
    <row r="81" spans="1:30" ht="156" x14ac:dyDescent="0.3">
      <c r="A81" s="76"/>
      <c r="B81" s="76" t="s">
        <v>360</v>
      </c>
      <c r="C81" s="76"/>
      <c r="D81" s="76" t="s">
        <v>360</v>
      </c>
      <c r="E81" s="76"/>
      <c r="F81" s="76"/>
      <c r="G81" s="76"/>
      <c r="H81" s="77"/>
      <c r="I81" s="76" t="s">
        <v>361</v>
      </c>
      <c r="J81" s="76" t="s">
        <v>434</v>
      </c>
      <c r="K81" s="76" t="s">
        <v>384</v>
      </c>
      <c r="L81" s="76" t="s">
        <v>641</v>
      </c>
      <c r="M81" s="76" t="s">
        <v>699</v>
      </c>
      <c r="N81" s="76" t="s">
        <v>719</v>
      </c>
      <c r="O81" s="76" t="s">
        <v>644</v>
      </c>
      <c r="P81" s="76" t="s">
        <v>720</v>
      </c>
      <c r="Q81" s="76" t="s">
        <v>721</v>
      </c>
      <c r="R81" s="76" t="s">
        <v>388</v>
      </c>
      <c r="S81" s="83">
        <v>250000000</v>
      </c>
      <c r="T81" s="79">
        <v>46295</v>
      </c>
      <c r="U81" s="80" t="s">
        <v>722</v>
      </c>
      <c r="V81" s="76" t="s">
        <v>371</v>
      </c>
      <c r="W81" s="80"/>
      <c r="X81" s="80" t="s">
        <v>723</v>
      </c>
      <c r="Y81" s="80"/>
      <c r="Z81" s="80"/>
      <c r="AA81" s="80"/>
      <c r="AB81" s="80"/>
      <c r="AC81" s="80"/>
      <c r="AD81" s="81"/>
    </row>
    <row r="82" spans="1:30" ht="93.6" x14ac:dyDescent="0.3">
      <c r="A82" s="76"/>
      <c r="B82" s="76" t="s">
        <v>360</v>
      </c>
      <c r="C82" s="76"/>
      <c r="D82" s="76" t="s">
        <v>360</v>
      </c>
      <c r="E82" s="76"/>
      <c r="F82" s="76"/>
      <c r="G82" s="76"/>
      <c r="H82" s="77"/>
      <c r="I82" s="76" t="s">
        <v>361</v>
      </c>
      <c r="J82" s="76" t="s">
        <v>434</v>
      </c>
      <c r="K82" s="76" t="s">
        <v>384</v>
      </c>
      <c r="L82" s="76" t="s">
        <v>641</v>
      </c>
      <c r="M82" s="76" t="s">
        <v>699</v>
      </c>
      <c r="N82" s="76" t="s">
        <v>719</v>
      </c>
      <c r="O82" s="76" t="s">
        <v>644</v>
      </c>
      <c r="P82" s="76" t="s">
        <v>724</v>
      </c>
      <c r="Q82" s="76" t="s">
        <v>725</v>
      </c>
      <c r="R82" s="76" t="s">
        <v>388</v>
      </c>
      <c r="S82" s="83">
        <v>50000000</v>
      </c>
      <c r="T82" s="79">
        <v>46295</v>
      </c>
      <c r="U82" s="80" t="s">
        <v>726</v>
      </c>
      <c r="V82" s="76" t="s">
        <v>371</v>
      </c>
      <c r="W82" s="80"/>
      <c r="X82" s="80" t="s">
        <v>596</v>
      </c>
      <c r="Y82" s="80"/>
      <c r="Z82" s="80"/>
      <c r="AA82" s="80"/>
      <c r="AB82" s="80"/>
      <c r="AC82" s="80"/>
      <c r="AD82" s="81"/>
    </row>
    <row r="83" spans="1:30" ht="343.2" x14ac:dyDescent="0.3">
      <c r="A83" s="76"/>
      <c r="B83" s="76" t="s">
        <v>360</v>
      </c>
      <c r="C83" s="76"/>
      <c r="D83" s="76" t="s">
        <v>360</v>
      </c>
      <c r="E83" s="76"/>
      <c r="F83" s="76"/>
      <c r="G83" s="76"/>
      <c r="H83" s="77"/>
      <c r="I83" s="76" t="s">
        <v>361</v>
      </c>
      <c r="J83" s="76" t="s">
        <v>434</v>
      </c>
      <c r="K83" s="76" t="s">
        <v>384</v>
      </c>
      <c r="L83" s="76" t="s">
        <v>641</v>
      </c>
      <c r="M83" s="76" t="s">
        <v>699</v>
      </c>
      <c r="N83" s="76" t="s">
        <v>727</v>
      </c>
      <c r="O83" s="76" t="s">
        <v>701</v>
      </c>
      <c r="P83" s="76" t="s">
        <v>724</v>
      </c>
      <c r="Q83" s="76" t="s">
        <v>728</v>
      </c>
      <c r="R83" s="76" t="s">
        <v>388</v>
      </c>
      <c r="S83" s="83">
        <v>50000000</v>
      </c>
      <c r="T83" s="79">
        <v>46295</v>
      </c>
      <c r="U83" s="80" t="s">
        <v>729</v>
      </c>
      <c r="V83" s="76"/>
      <c r="W83" s="80"/>
      <c r="X83" s="80" t="s">
        <v>730</v>
      </c>
      <c r="Y83" s="80" t="s">
        <v>731</v>
      </c>
      <c r="Z83" s="80"/>
      <c r="AA83" s="80"/>
      <c r="AB83" s="80"/>
      <c r="AC83" s="80"/>
      <c r="AD83" s="81"/>
    </row>
    <row r="84" spans="1:30" ht="109.2" x14ac:dyDescent="0.3">
      <c r="A84" s="76"/>
      <c r="B84" s="76"/>
      <c r="C84" s="76"/>
      <c r="D84" s="76"/>
      <c r="E84" s="76"/>
      <c r="F84" s="76"/>
      <c r="G84" s="76" t="s">
        <v>457</v>
      </c>
      <c r="H84" s="77"/>
      <c r="I84" s="76" t="s">
        <v>361</v>
      </c>
      <c r="J84" s="76" t="s">
        <v>434</v>
      </c>
      <c r="K84" s="76" t="s">
        <v>384</v>
      </c>
      <c r="L84" s="76" t="s">
        <v>732</v>
      </c>
      <c r="M84" s="76"/>
      <c r="N84" s="76" t="s">
        <v>733</v>
      </c>
      <c r="O84" s="76" t="s">
        <v>734</v>
      </c>
      <c r="P84" s="76" t="s">
        <v>735</v>
      </c>
      <c r="Q84" s="76" t="s">
        <v>736</v>
      </c>
      <c r="R84" s="76" t="s">
        <v>388</v>
      </c>
      <c r="S84" s="83">
        <v>320000000</v>
      </c>
      <c r="T84" s="79">
        <v>46295</v>
      </c>
      <c r="U84" s="80" t="s">
        <v>737</v>
      </c>
      <c r="V84" s="76" t="s">
        <v>428</v>
      </c>
      <c r="W84" s="80" t="s">
        <v>426</v>
      </c>
      <c r="X84" s="80" t="s">
        <v>596</v>
      </c>
      <c r="Y84" s="80"/>
      <c r="Z84" s="80" t="s">
        <v>738</v>
      </c>
      <c r="AA84" s="80" t="s">
        <v>426</v>
      </c>
      <c r="AB84" s="80" t="s">
        <v>426</v>
      </c>
      <c r="AC84" s="80" t="s">
        <v>426</v>
      </c>
      <c r="AD84" s="81"/>
    </row>
    <row r="85" spans="1:30" ht="78" x14ac:dyDescent="0.3">
      <c r="A85" s="76"/>
      <c r="B85" s="76"/>
      <c r="C85" s="76"/>
      <c r="D85" s="76"/>
      <c r="E85" s="76"/>
      <c r="F85" s="76"/>
      <c r="G85" s="76" t="s">
        <v>457</v>
      </c>
      <c r="H85" s="77"/>
      <c r="I85" s="76" t="s">
        <v>361</v>
      </c>
      <c r="J85" s="76" t="s">
        <v>434</v>
      </c>
      <c r="K85" s="76" t="s">
        <v>384</v>
      </c>
      <c r="L85" s="76" t="s">
        <v>732</v>
      </c>
      <c r="M85" s="76"/>
      <c r="N85" s="76" t="s">
        <v>739</v>
      </c>
      <c r="O85" s="76" t="s">
        <v>734</v>
      </c>
      <c r="P85" s="76" t="s">
        <v>735</v>
      </c>
      <c r="Q85" s="76" t="s">
        <v>740</v>
      </c>
      <c r="R85" s="76" t="s">
        <v>426</v>
      </c>
      <c r="S85" s="83" t="s">
        <v>426</v>
      </c>
      <c r="T85" s="79">
        <v>46295</v>
      </c>
      <c r="U85" s="80" t="s">
        <v>741</v>
      </c>
      <c r="V85" s="76" t="s">
        <v>428</v>
      </c>
      <c r="W85" s="80" t="s">
        <v>426</v>
      </c>
      <c r="X85" s="80" t="s">
        <v>596</v>
      </c>
      <c r="Y85" s="80"/>
      <c r="Z85" s="80" t="s">
        <v>738</v>
      </c>
      <c r="AA85" s="80" t="s">
        <v>426</v>
      </c>
      <c r="AB85" s="80" t="s">
        <v>426</v>
      </c>
      <c r="AC85" s="80" t="s">
        <v>426</v>
      </c>
      <c r="AD85" s="81"/>
    </row>
    <row r="86" spans="1:30" ht="78" x14ac:dyDescent="0.3">
      <c r="A86" s="76"/>
      <c r="B86" s="76"/>
      <c r="C86" s="76"/>
      <c r="D86" s="76"/>
      <c r="E86" s="76"/>
      <c r="F86" s="76"/>
      <c r="G86" s="76" t="s">
        <v>360</v>
      </c>
      <c r="H86" s="77"/>
      <c r="I86" s="76" t="s">
        <v>361</v>
      </c>
      <c r="J86" s="76" t="s">
        <v>434</v>
      </c>
      <c r="K86" s="76" t="s">
        <v>384</v>
      </c>
      <c r="L86" s="76" t="s">
        <v>732</v>
      </c>
      <c r="M86" s="76"/>
      <c r="N86" s="76" t="s">
        <v>742</v>
      </c>
      <c r="O86" s="76" t="s">
        <v>734</v>
      </c>
      <c r="P86" s="76" t="s">
        <v>735</v>
      </c>
      <c r="Q86" s="76"/>
      <c r="R86" s="76" t="s">
        <v>675</v>
      </c>
      <c r="S86" s="83">
        <v>167000000</v>
      </c>
      <c r="T86" s="76" t="s">
        <v>491</v>
      </c>
      <c r="U86" s="80" t="s">
        <v>743</v>
      </c>
      <c r="V86" s="76" t="s">
        <v>371</v>
      </c>
      <c r="W86" s="80" t="s">
        <v>426</v>
      </c>
      <c r="X86" s="80" t="s">
        <v>596</v>
      </c>
      <c r="Y86" s="80"/>
      <c r="Z86" s="80" t="s">
        <v>738</v>
      </c>
      <c r="AA86" s="80" t="s">
        <v>426</v>
      </c>
      <c r="AB86" s="80" t="s">
        <v>426</v>
      </c>
      <c r="AC86" s="80"/>
      <c r="AD86" s="81"/>
    </row>
    <row r="87" spans="1:30" ht="93.6" x14ac:dyDescent="0.3">
      <c r="A87" s="76"/>
      <c r="B87" s="76" t="s">
        <v>457</v>
      </c>
      <c r="C87" s="76"/>
      <c r="D87" s="76"/>
      <c r="E87" s="76"/>
      <c r="F87" s="76"/>
      <c r="G87" s="76" t="s">
        <v>360</v>
      </c>
      <c r="H87" s="77"/>
      <c r="I87" s="76" t="s">
        <v>361</v>
      </c>
      <c r="J87" s="76" t="s">
        <v>434</v>
      </c>
      <c r="K87" s="76" t="s">
        <v>384</v>
      </c>
      <c r="L87" s="76" t="s">
        <v>732</v>
      </c>
      <c r="M87" s="76"/>
      <c r="N87" s="76" t="s">
        <v>744</v>
      </c>
      <c r="O87" s="76" t="s">
        <v>644</v>
      </c>
      <c r="P87" s="76" t="s">
        <v>745</v>
      </c>
      <c r="Q87" s="76"/>
      <c r="R87" s="76" t="s">
        <v>675</v>
      </c>
      <c r="S87" s="83">
        <v>140000000</v>
      </c>
      <c r="T87" s="76" t="s">
        <v>491</v>
      </c>
      <c r="U87" s="80" t="s">
        <v>746</v>
      </c>
      <c r="V87" s="76" t="s">
        <v>371</v>
      </c>
      <c r="W87" s="80" t="s">
        <v>426</v>
      </c>
      <c r="X87" s="80" t="s">
        <v>596</v>
      </c>
      <c r="Y87" s="80"/>
      <c r="Z87" s="80" t="s">
        <v>738</v>
      </c>
      <c r="AA87" s="80" t="s">
        <v>426</v>
      </c>
      <c r="AB87" s="80" t="s">
        <v>426</v>
      </c>
      <c r="AC87" s="80"/>
      <c r="AD87" s="81"/>
    </row>
    <row r="88" spans="1:30" ht="249.6" x14ac:dyDescent="0.3">
      <c r="A88" s="76"/>
      <c r="B88" s="76"/>
      <c r="C88" s="76"/>
      <c r="D88" s="76"/>
      <c r="E88" s="76"/>
      <c r="F88" s="76"/>
      <c r="G88" s="76" t="s">
        <v>360</v>
      </c>
      <c r="H88" s="77"/>
      <c r="I88" s="76" t="s">
        <v>361</v>
      </c>
      <c r="J88" s="76" t="s">
        <v>434</v>
      </c>
      <c r="K88" s="76" t="s">
        <v>384</v>
      </c>
      <c r="L88" s="76" t="s">
        <v>732</v>
      </c>
      <c r="M88" s="76"/>
      <c r="N88" s="76" t="s">
        <v>747</v>
      </c>
      <c r="O88" s="76" t="s">
        <v>748</v>
      </c>
      <c r="P88" s="76" t="s">
        <v>749</v>
      </c>
      <c r="Q88" s="76" t="s">
        <v>750</v>
      </c>
      <c r="R88" s="76" t="s">
        <v>388</v>
      </c>
      <c r="S88" s="83">
        <f>600000000*5</f>
        <v>3000000000</v>
      </c>
      <c r="T88" s="79">
        <v>46295</v>
      </c>
      <c r="U88" s="80" t="s">
        <v>751</v>
      </c>
      <c r="V88" s="76" t="s">
        <v>371</v>
      </c>
      <c r="W88" s="80" t="s">
        <v>549</v>
      </c>
      <c r="X88" s="80"/>
      <c r="Y88" s="80"/>
      <c r="Z88" s="80"/>
      <c r="AA88" s="80"/>
      <c r="AB88" s="80"/>
      <c r="AC88" s="80"/>
      <c r="AD88" s="81"/>
    </row>
    <row r="89" spans="1:30" ht="343.2" x14ac:dyDescent="0.3">
      <c r="A89" s="76"/>
      <c r="B89" s="76"/>
      <c r="C89" s="76"/>
      <c r="D89" s="76"/>
      <c r="E89" s="76"/>
      <c r="F89" s="76"/>
      <c r="G89" s="76" t="s">
        <v>360</v>
      </c>
      <c r="H89" s="77"/>
      <c r="I89" s="76" t="s">
        <v>361</v>
      </c>
      <c r="J89" s="76" t="s">
        <v>434</v>
      </c>
      <c r="K89" s="76" t="s">
        <v>384</v>
      </c>
      <c r="L89" s="76" t="s">
        <v>732</v>
      </c>
      <c r="M89" s="76"/>
      <c r="N89" s="76" t="s">
        <v>747</v>
      </c>
      <c r="O89" s="76" t="s">
        <v>752</v>
      </c>
      <c r="P89" s="76" t="s">
        <v>749</v>
      </c>
      <c r="Q89" s="76" t="s">
        <v>753</v>
      </c>
      <c r="R89" s="76" t="s">
        <v>388</v>
      </c>
      <c r="S89" s="83">
        <f>600000000*5</f>
        <v>3000000000</v>
      </c>
      <c r="T89" s="79">
        <v>46295</v>
      </c>
      <c r="U89" s="80" t="s">
        <v>754</v>
      </c>
      <c r="V89" s="76" t="s">
        <v>371</v>
      </c>
      <c r="W89" s="80" t="s">
        <v>549</v>
      </c>
      <c r="X89" s="80"/>
      <c r="Y89" s="80"/>
      <c r="Z89" s="80"/>
      <c r="AA89" s="80"/>
      <c r="AB89" s="80"/>
      <c r="AC89" s="80"/>
      <c r="AD89" s="81"/>
    </row>
    <row r="90" spans="1:30" ht="31.2" x14ac:dyDescent="0.3">
      <c r="A90" s="76"/>
      <c r="B90" s="76"/>
      <c r="C90" s="76"/>
      <c r="D90" s="76"/>
      <c r="E90" s="76"/>
      <c r="F90" s="76"/>
      <c r="G90" s="76" t="s">
        <v>457</v>
      </c>
      <c r="H90" s="77"/>
      <c r="I90" s="76" t="s">
        <v>361</v>
      </c>
      <c r="J90" s="76" t="s">
        <v>434</v>
      </c>
      <c r="K90" s="76" t="s">
        <v>384</v>
      </c>
      <c r="L90" s="76" t="s">
        <v>732</v>
      </c>
      <c r="M90" s="76"/>
      <c r="N90" s="76" t="s">
        <v>747</v>
      </c>
      <c r="O90" s="76" t="s">
        <v>752</v>
      </c>
      <c r="P90" s="76" t="s">
        <v>755</v>
      </c>
      <c r="Q90" s="76" t="s">
        <v>756</v>
      </c>
      <c r="R90" s="76" t="s">
        <v>675</v>
      </c>
      <c r="S90" s="83">
        <v>10000000</v>
      </c>
      <c r="T90" s="76" t="s">
        <v>491</v>
      </c>
      <c r="U90" s="80" t="s">
        <v>757</v>
      </c>
      <c r="V90" s="76"/>
      <c r="W90" s="80" t="s">
        <v>549</v>
      </c>
      <c r="X90" s="80"/>
      <c r="Y90" s="80"/>
      <c r="Z90" s="80"/>
      <c r="AA90" s="80"/>
      <c r="AB90" s="80"/>
      <c r="AC90" s="80"/>
      <c r="AD90" s="81"/>
    </row>
    <row r="91" spans="1:30" ht="31.2" x14ac:dyDescent="0.3">
      <c r="A91" s="76"/>
      <c r="B91" s="76"/>
      <c r="C91" s="76"/>
      <c r="D91" s="76"/>
      <c r="E91" s="76"/>
      <c r="F91" s="76"/>
      <c r="G91" s="76" t="s">
        <v>457</v>
      </c>
      <c r="H91" s="77"/>
      <c r="I91" s="76" t="s">
        <v>361</v>
      </c>
      <c r="J91" s="76" t="s">
        <v>434</v>
      </c>
      <c r="K91" s="76" t="s">
        <v>384</v>
      </c>
      <c r="L91" s="76" t="s">
        <v>732</v>
      </c>
      <c r="M91" s="76"/>
      <c r="N91" s="76" t="s">
        <v>747</v>
      </c>
      <c r="O91" s="76" t="s">
        <v>416</v>
      </c>
      <c r="P91" s="76" t="s">
        <v>758</v>
      </c>
      <c r="Q91" s="76" t="s">
        <v>759</v>
      </c>
      <c r="R91" s="76" t="s">
        <v>675</v>
      </c>
      <c r="S91" s="83">
        <v>125000000</v>
      </c>
      <c r="T91" s="79">
        <v>46295</v>
      </c>
      <c r="U91" s="80" t="s">
        <v>759</v>
      </c>
      <c r="V91" s="76"/>
      <c r="W91" s="80" t="s">
        <v>549</v>
      </c>
      <c r="X91" s="80"/>
      <c r="Y91" s="80"/>
      <c r="Z91" s="80"/>
      <c r="AA91" s="80"/>
      <c r="AB91" s="80"/>
      <c r="AC91" s="80"/>
      <c r="AD91" s="81"/>
    </row>
    <row r="92" spans="1:30" ht="409.6" x14ac:dyDescent="0.3">
      <c r="A92" s="76" t="s">
        <v>360</v>
      </c>
      <c r="B92" s="76"/>
      <c r="C92" s="76" t="s">
        <v>360</v>
      </c>
      <c r="D92" s="76"/>
      <c r="E92" s="76"/>
      <c r="F92" s="76"/>
      <c r="G92" s="76" t="s">
        <v>360</v>
      </c>
      <c r="H92" s="77"/>
      <c r="I92" s="76" t="s">
        <v>361</v>
      </c>
      <c r="J92" s="76" t="s">
        <v>434</v>
      </c>
      <c r="K92" s="76" t="s">
        <v>384</v>
      </c>
      <c r="L92" s="76" t="s">
        <v>732</v>
      </c>
      <c r="M92" s="76"/>
      <c r="N92" s="76" t="s">
        <v>747</v>
      </c>
      <c r="O92" s="76" t="s">
        <v>644</v>
      </c>
      <c r="P92" s="76" t="s">
        <v>749</v>
      </c>
      <c r="Q92" s="76"/>
      <c r="R92" s="76" t="s">
        <v>388</v>
      </c>
      <c r="S92" s="83">
        <v>60000000</v>
      </c>
      <c r="T92" s="79">
        <v>46295</v>
      </c>
      <c r="U92" s="80" t="s">
        <v>760</v>
      </c>
      <c r="V92" s="76" t="s">
        <v>371</v>
      </c>
      <c r="W92" s="80" t="s">
        <v>549</v>
      </c>
      <c r="X92" s="80" t="s">
        <v>408</v>
      </c>
      <c r="Y92" s="80" t="s">
        <v>761</v>
      </c>
      <c r="Z92" s="80"/>
      <c r="AA92" s="76" t="s">
        <v>374</v>
      </c>
      <c r="AB92" s="82">
        <v>0.5</v>
      </c>
      <c r="AC92" s="80"/>
      <c r="AD92" s="81"/>
    </row>
    <row r="93" spans="1:30" ht="93.6" x14ac:dyDescent="0.3">
      <c r="A93" s="76" t="s">
        <v>360</v>
      </c>
      <c r="B93" s="76"/>
      <c r="C93" s="76" t="s">
        <v>360</v>
      </c>
      <c r="D93" s="76"/>
      <c r="E93" s="76"/>
      <c r="F93" s="76"/>
      <c r="G93" s="76" t="s">
        <v>360</v>
      </c>
      <c r="H93" s="77"/>
      <c r="I93" s="76" t="s">
        <v>361</v>
      </c>
      <c r="J93" s="76" t="s">
        <v>434</v>
      </c>
      <c r="K93" s="76" t="s">
        <v>384</v>
      </c>
      <c r="L93" s="76" t="s">
        <v>732</v>
      </c>
      <c r="M93" s="76"/>
      <c r="N93" s="76" t="s">
        <v>747</v>
      </c>
      <c r="O93" s="76" t="s">
        <v>644</v>
      </c>
      <c r="P93" s="76" t="s">
        <v>749</v>
      </c>
      <c r="Q93" s="76"/>
      <c r="R93" s="76" t="s">
        <v>388</v>
      </c>
      <c r="S93" s="83">
        <v>50000000</v>
      </c>
      <c r="T93" s="79">
        <v>46295</v>
      </c>
      <c r="U93" s="80" t="s">
        <v>762</v>
      </c>
      <c r="V93" s="76" t="s">
        <v>371</v>
      </c>
      <c r="W93" s="80" t="s">
        <v>549</v>
      </c>
      <c r="X93" s="80"/>
      <c r="Y93" s="80"/>
      <c r="Z93" s="80"/>
      <c r="AA93" s="76" t="s">
        <v>374</v>
      </c>
      <c r="AB93" s="82">
        <v>0.5</v>
      </c>
      <c r="AC93" s="80"/>
      <c r="AD93" s="81"/>
    </row>
    <row r="94" spans="1:30" ht="156" x14ac:dyDescent="0.3">
      <c r="A94" s="76" t="s">
        <v>360</v>
      </c>
      <c r="B94" s="76"/>
      <c r="C94" s="76" t="s">
        <v>360</v>
      </c>
      <c r="D94" s="76"/>
      <c r="E94" s="76"/>
      <c r="F94" s="76"/>
      <c r="G94" s="76" t="s">
        <v>360</v>
      </c>
      <c r="H94" s="77"/>
      <c r="I94" s="76" t="s">
        <v>361</v>
      </c>
      <c r="J94" s="76" t="s">
        <v>434</v>
      </c>
      <c r="K94" s="76" t="s">
        <v>384</v>
      </c>
      <c r="L94" s="76" t="s">
        <v>732</v>
      </c>
      <c r="M94" s="76"/>
      <c r="N94" s="76" t="s">
        <v>747</v>
      </c>
      <c r="O94" s="76" t="s">
        <v>644</v>
      </c>
      <c r="P94" s="76" t="s">
        <v>749</v>
      </c>
      <c r="Q94" s="76"/>
      <c r="R94" s="76" t="s">
        <v>388</v>
      </c>
      <c r="S94" s="83">
        <v>15000000</v>
      </c>
      <c r="T94" s="79">
        <v>46295</v>
      </c>
      <c r="U94" s="80" t="s">
        <v>763</v>
      </c>
      <c r="V94" s="76" t="s">
        <v>371</v>
      </c>
      <c r="W94" s="80" t="s">
        <v>549</v>
      </c>
      <c r="X94" s="80" t="s">
        <v>596</v>
      </c>
      <c r="Y94" s="80" t="s">
        <v>764</v>
      </c>
      <c r="Z94" s="80"/>
      <c r="AA94" s="80"/>
      <c r="AB94" s="82"/>
      <c r="AC94" s="80"/>
      <c r="AD94" s="81"/>
    </row>
    <row r="95" spans="1:30" ht="280.8" x14ac:dyDescent="0.3">
      <c r="A95" s="76" t="s">
        <v>360</v>
      </c>
      <c r="B95" s="76" t="s">
        <v>360</v>
      </c>
      <c r="C95" s="76" t="s">
        <v>360</v>
      </c>
      <c r="D95" s="76"/>
      <c r="E95" s="76"/>
      <c r="F95" s="76"/>
      <c r="G95" s="76" t="s">
        <v>360</v>
      </c>
      <c r="H95" s="77"/>
      <c r="I95" s="76" t="s">
        <v>361</v>
      </c>
      <c r="J95" s="76" t="s">
        <v>434</v>
      </c>
      <c r="K95" s="76" t="s">
        <v>384</v>
      </c>
      <c r="L95" s="76" t="s">
        <v>732</v>
      </c>
      <c r="M95" s="76"/>
      <c r="N95" s="76" t="s">
        <v>747</v>
      </c>
      <c r="O95" s="76" t="s">
        <v>644</v>
      </c>
      <c r="P95" s="76" t="s">
        <v>749</v>
      </c>
      <c r="Q95" s="76" t="s">
        <v>765</v>
      </c>
      <c r="R95" s="76" t="s">
        <v>388</v>
      </c>
      <c r="S95" s="83">
        <v>15000000</v>
      </c>
      <c r="T95" s="79">
        <v>46295</v>
      </c>
      <c r="U95" s="80" t="s">
        <v>766</v>
      </c>
      <c r="V95" s="76" t="s">
        <v>371</v>
      </c>
      <c r="W95" s="80" t="s">
        <v>426</v>
      </c>
      <c r="X95" s="80" t="s">
        <v>767</v>
      </c>
      <c r="Y95" s="80"/>
      <c r="Z95" s="80" t="s">
        <v>426</v>
      </c>
      <c r="AA95" s="80" t="s">
        <v>426</v>
      </c>
      <c r="AB95" s="82" t="s">
        <v>426</v>
      </c>
      <c r="AC95" s="80"/>
      <c r="AD95" s="81"/>
    </row>
    <row r="96" spans="1:30" ht="409.6" x14ac:dyDescent="0.3">
      <c r="A96" s="76"/>
      <c r="B96" s="76" t="s">
        <v>360</v>
      </c>
      <c r="C96" s="76" t="s">
        <v>360</v>
      </c>
      <c r="D96" s="76"/>
      <c r="E96" s="76"/>
      <c r="F96" s="76"/>
      <c r="G96" s="76"/>
      <c r="H96" s="77"/>
      <c r="I96" s="76" t="s">
        <v>361</v>
      </c>
      <c r="J96" s="76" t="s">
        <v>434</v>
      </c>
      <c r="K96" s="76" t="s">
        <v>384</v>
      </c>
      <c r="L96" s="76" t="s">
        <v>732</v>
      </c>
      <c r="M96" s="76"/>
      <c r="N96" s="76" t="s">
        <v>768</v>
      </c>
      <c r="O96" s="76" t="s">
        <v>644</v>
      </c>
      <c r="P96" s="76" t="s">
        <v>769</v>
      </c>
      <c r="Q96" s="76" t="s">
        <v>770</v>
      </c>
      <c r="R96" s="76" t="s">
        <v>388</v>
      </c>
      <c r="S96" s="83">
        <v>200000000</v>
      </c>
      <c r="T96" s="79">
        <v>46295</v>
      </c>
      <c r="U96" s="80" t="s">
        <v>771</v>
      </c>
      <c r="V96" s="76" t="s">
        <v>607</v>
      </c>
      <c r="W96" s="80"/>
      <c r="X96" s="80" t="s">
        <v>408</v>
      </c>
      <c r="Y96" s="80" t="s">
        <v>772</v>
      </c>
      <c r="Z96" s="80"/>
      <c r="AA96" s="80"/>
      <c r="AB96" s="80"/>
      <c r="AC96" s="80"/>
      <c r="AD96" s="81"/>
    </row>
    <row r="97" spans="1:30" ht="409.6" x14ac:dyDescent="0.3">
      <c r="A97" s="76" t="s">
        <v>360</v>
      </c>
      <c r="B97" s="76" t="s">
        <v>360</v>
      </c>
      <c r="C97" s="76" t="s">
        <v>360</v>
      </c>
      <c r="D97" s="76"/>
      <c r="E97" s="76" t="s">
        <v>360</v>
      </c>
      <c r="F97" s="76"/>
      <c r="G97" s="76" t="s">
        <v>360</v>
      </c>
      <c r="H97" s="77"/>
      <c r="I97" s="76" t="s">
        <v>361</v>
      </c>
      <c r="J97" s="76" t="s">
        <v>434</v>
      </c>
      <c r="K97" s="76" t="s">
        <v>384</v>
      </c>
      <c r="L97" s="76" t="s">
        <v>732</v>
      </c>
      <c r="M97" s="76"/>
      <c r="N97" s="76" t="s">
        <v>773</v>
      </c>
      <c r="O97" s="76" t="s">
        <v>644</v>
      </c>
      <c r="P97" s="76" t="s">
        <v>774</v>
      </c>
      <c r="Q97" s="76" t="s">
        <v>775</v>
      </c>
      <c r="R97" s="76" t="s">
        <v>388</v>
      </c>
      <c r="S97" s="83">
        <v>750000000</v>
      </c>
      <c r="T97" s="79">
        <v>46295</v>
      </c>
      <c r="U97" s="80" t="s">
        <v>776</v>
      </c>
      <c r="V97" s="76"/>
      <c r="W97" s="80"/>
      <c r="X97" s="80" t="s">
        <v>596</v>
      </c>
      <c r="Y97" s="80" t="s">
        <v>777</v>
      </c>
      <c r="Z97" s="80"/>
      <c r="AA97" s="80"/>
      <c r="AB97" s="80"/>
      <c r="AC97" s="80" t="s">
        <v>778</v>
      </c>
      <c r="AD97" s="81" t="s">
        <v>779</v>
      </c>
    </row>
    <row r="98" spans="1:30" ht="218.4" x14ac:dyDescent="0.3">
      <c r="A98" s="76"/>
      <c r="B98" s="76"/>
      <c r="C98" s="76"/>
      <c r="D98" s="76"/>
      <c r="E98" s="76"/>
      <c r="F98" s="76"/>
      <c r="G98" s="76" t="s">
        <v>360</v>
      </c>
      <c r="H98" s="77"/>
      <c r="I98" s="76" t="s">
        <v>361</v>
      </c>
      <c r="J98" s="76" t="s">
        <v>434</v>
      </c>
      <c r="K98" s="76" t="s">
        <v>384</v>
      </c>
      <c r="L98" s="76" t="s">
        <v>732</v>
      </c>
      <c r="M98" s="76"/>
      <c r="N98" s="76" t="s">
        <v>780</v>
      </c>
      <c r="O98" s="76" t="s">
        <v>644</v>
      </c>
      <c r="P98" s="76" t="s">
        <v>781</v>
      </c>
      <c r="Q98" s="76" t="s">
        <v>782</v>
      </c>
      <c r="R98" s="76" t="s">
        <v>783</v>
      </c>
      <c r="S98" s="83">
        <f>SUM(100000000*4)</f>
        <v>400000000</v>
      </c>
      <c r="T98" s="79">
        <v>45565</v>
      </c>
      <c r="U98" s="80" t="s">
        <v>784</v>
      </c>
      <c r="V98" s="76" t="s">
        <v>371</v>
      </c>
      <c r="W98" s="80" t="s">
        <v>549</v>
      </c>
      <c r="X98" s="80" t="s">
        <v>596</v>
      </c>
      <c r="Y98" s="80" t="s">
        <v>785</v>
      </c>
      <c r="Z98" s="80"/>
      <c r="AA98" s="80"/>
      <c r="AB98" s="80"/>
      <c r="AC98" s="80"/>
      <c r="AD98" s="81"/>
    </row>
    <row r="99" spans="1:30" ht="187.2" x14ac:dyDescent="0.3">
      <c r="A99" s="76"/>
      <c r="B99" s="76" t="s">
        <v>360</v>
      </c>
      <c r="C99" s="76"/>
      <c r="D99" s="76"/>
      <c r="E99" s="76"/>
      <c r="F99" s="76"/>
      <c r="G99" s="76" t="s">
        <v>360</v>
      </c>
      <c r="H99" s="77"/>
      <c r="I99" s="76" t="s">
        <v>361</v>
      </c>
      <c r="J99" s="76" t="s">
        <v>434</v>
      </c>
      <c r="K99" s="76" t="s">
        <v>384</v>
      </c>
      <c r="L99" s="76" t="s">
        <v>786</v>
      </c>
      <c r="M99" s="76" t="s">
        <v>787</v>
      </c>
      <c r="N99" s="76" t="s">
        <v>788</v>
      </c>
      <c r="O99" s="76" t="s">
        <v>644</v>
      </c>
      <c r="P99" s="76" t="s">
        <v>789</v>
      </c>
      <c r="Q99" s="76"/>
      <c r="R99" s="76" t="s">
        <v>388</v>
      </c>
      <c r="S99" s="83">
        <f>SUM(41000000+65250000+66562500+67940625+69387656)</f>
        <v>310140781</v>
      </c>
      <c r="T99" s="79">
        <v>46295</v>
      </c>
      <c r="U99" s="80" t="s">
        <v>790</v>
      </c>
      <c r="V99" s="76" t="s">
        <v>371</v>
      </c>
      <c r="W99" s="80"/>
      <c r="X99" s="80" t="s">
        <v>382</v>
      </c>
      <c r="Y99" s="80" t="s">
        <v>791</v>
      </c>
      <c r="Z99" s="80"/>
      <c r="AA99" s="80"/>
      <c r="AB99" s="80"/>
      <c r="AC99" s="80"/>
      <c r="AD99" s="81"/>
    </row>
    <row r="100" spans="1:30" ht="187.2" x14ac:dyDescent="0.3">
      <c r="A100" s="76"/>
      <c r="B100" s="76" t="s">
        <v>360</v>
      </c>
      <c r="C100" s="76"/>
      <c r="D100" s="76"/>
      <c r="E100" s="76"/>
      <c r="F100" s="76"/>
      <c r="G100" s="76" t="s">
        <v>360</v>
      </c>
      <c r="H100" s="77"/>
      <c r="I100" s="76" t="s">
        <v>361</v>
      </c>
      <c r="J100" s="76" t="s">
        <v>434</v>
      </c>
      <c r="K100" s="76" t="s">
        <v>384</v>
      </c>
      <c r="L100" s="76" t="s">
        <v>786</v>
      </c>
      <c r="M100" s="76" t="s">
        <v>787</v>
      </c>
      <c r="N100" s="76" t="s">
        <v>792</v>
      </c>
      <c r="O100" s="76" t="s">
        <v>644</v>
      </c>
      <c r="P100" s="76" t="s">
        <v>789</v>
      </c>
      <c r="Q100" s="76" t="s">
        <v>793</v>
      </c>
      <c r="R100" s="76" t="s">
        <v>388</v>
      </c>
      <c r="S100" s="83">
        <f>SUM((600000000*2)+(300000000*3))</f>
        <v>2100000000</v>
      </c>
      <c r="T100" s="79">
        <v>46295</v>
      </c>
      <c r="U100" s="80" t="s">
        <v>794</v>
      </c>
      <c r="V100" s="76" t="s">
        <v>371</v>
      </c>
      <c r="W100" s="80"/>
      <c r="X100" s="80"/>
      <c r="Y100" s="80"/>
      <c r="Z100" s="80" t="s">
        <v>795</v>
      </c>
      <c r="AA100" s="76" t="s">
        <v>374</v>
      </c>
      <c r="AB100" s="82">
        <v>0.8</v>
      </c>
      <c r="AC100" s="80"/>
      <c r="AD100" s="81"/>
    </row>
    <row r="101" spans="1:30" ht="187.2" x14ac:dyDescent="0.3">
      <c r="A101" s="76"/>
      <c r="B101" s="76" t="s">
        <v>360</v>
      </c>
      <c r="C101" s="76"/>
      <c r="D101" s="76"/>
      <c r="E101" s="76"/>
      <c r="F101" s="76"/>
      <c r="G101" s="76" t="s">
        <v>360</v>
      </c>
      <c r="H101" s="77"/>
      <c r="I101" s="76" t="s">
        <v>361</v>
      </c>
      <c r="J101" s="76" t="s">
        <v>434</v>
      </c>
      <c r="K101" s="76" t="s">
        <v>384</v>
      </c>
      <c r="L101" s="76" t="s">
        <v>786</v>
      </c>
      <c r="M101" s="76" t="s">
        <v>787</v>
      </c>
      <c r="N101" s="76" t="s">
        <v>796</v>
      </c>
      <c r="O101" s="76" t="s">
        <v>644</v>
      </c>
      <c r="P101" s="76" t="s">
        <v>789</v>
      </c>
      <c r="Q101" s="76" t="s">
        <v>797</v>
      </c>
      <c r="R101" s="76" t="s">
        <v>388</v>
      </c>
      <c r="S101" s="83">
        <v>2500000000</v>
      </c>
      <c r="T101" s="79">
        <v>46295</v>
      </c>
      <c r="U101" s="80" t="s">
        <v>798</v>
      </c>
      <c r="V101" s="76"/>
      <c r="W101" s="80"/>
      <c r="X101" s="80"/>
      <c r="Y101" s="80"/>
      <c r="Z101" s="80"/>
      <c r="AA101" s="80"/>
      <c r="AB101" s="80"/>
      <c r="AC101" s="80"/>
      <c r="AD101" s="81"/>
    </row>
    <row r="102" spans="1:30" ht="109.2" x14ac:dyDescent="0.3">
      <c r="A102" s="76"/>
      <c r="B102" s="76" t="s">
        <v>360</v>
      </c>
      <c r="C102" s="76"/>
      <c r="D102" s="76"/>
      <c r="E102" s="76"/>
      <c r="F102" s="76"/>
      <c r="G102" s="76" t="s">
        <v>360</v>
      </c>
      <c r="H102" s="77"/>
      <c r="I102" s="76" t="s">
        <v>361</v>
      </c>
      <c r="J102" s="76" t="s">
        <v>434</v>
      </c>
      <c r="K102" s="76" t="s">
        <v>384</v>
      </c>
      <c r="L102" s="76" t="s">
        <v>786</v>
      </c>
      <c r="M102" s="76" t="s">
        <v>787</v>
      </c>
      <c r="N102" s="76" t="s">
        <v>799</v>
      </c>
      <c r="O102" s="76" t="s">
        <v>644</v>
      </c>
      <c r="P102" s="76" t="s">
        <v>789</v>
      </c>
      <c r="Q102" s="76"/>
      <c r="R102" s="76" t="s">
        <v>388</v>
      </c>
      <c r="S102" s="83">
        <f>SUM((5000000*5)+50000000)</f>
        <v>75000000</v>
      </c>
      <c r="T102" s="79">
        <v>46295</v>
      </c>
      <c r="U102" s="80" t="s">
        <v>800</v>
      </c>
      <c r="V102" s="76"/>
      <c r="W102" s="80"/>
      <c r="X102" s="80" t="s">
        <v>380</v>
      </c>
      <c r="Y102" s="80" t="s">
        <v>801</v>
      </c>
      <c r="Z102" s="80"/>
      <c r="AA102" s="80"/>
      <c r="AB102" s="80"/>
      <c r="AC102" s="80"/>
      <c r="AD102" s="81"/>
    </row>
    <row r="103" spans="1:30" ht="409.6" x14ac:dyDescent="0.3">
      <c r="A103" s="76"/>
      <c r="B103" s="76"/>
      <c r="C103" s="76"/>
      <c r="D103" s="76"/>
      <c r="E103" s="76"/>
      <c r="F103" s="76"/>
      <c r="G103" s="76" t="s">
        <v>360</v>
      </c>
      <c r="H103" s="77" t="s">
        <v>360</v>
      </c>
      <c r="I103" s="76" t="s">
        <v>361</v>
      </c>
      <c r="J103" s="76" t="s">
        <v>434</v>
      </c>
      <c r="K103" s="76" t="s">
        <v>384</v>
      </c>
      <c r="L103" s="76" t="s">
        <v>786</v>
      </c>
      <c r="M103" s="76" t="s">
        <v>787</v>
      </c>
      <c r="N103" s="76" t="s">
        <v>802</v>
      </c>
      <c r="O103" s="76" t="s">
        <v>644</v>
      </c>
      <c r="P103" s="76" t="s">
        <v>803</v>
      </c>
      <c r="Q103" s="76" t="s">
        <v>804</v>
      </c>
      <c r="R103" s="76" t="s">
        <v>388</v>
      </c>
      <c r="S103" s="83">
        <v>3500000000</v>
      </c>
      <c r="T103" s="79">
        <v>46295</v>
      </c>
      <c r="U103" s="80" t="s">
        <v>805</v>
      </c>
      <c r="V103" s="76"/>
      <c r="W103" s="80"/>
      <c r="X103" s="80"/>
      <c r="Y103" s="80"/>
      <c r="Z103" s="80"/>
      <c r="AA103" s="80"/>
      <c r="AB103" s="80"/>
      <c r="AC103" s="80" t="s">
        <v>806</v>
      </c>
      <c r="AD103" s="81" t="s">
        <v>807</v>
      </c>
    </row>
    <row r="104" spans="1:30" ht="140.4" x14ac:dyDescent="0.3">
      <c r="A104" s="76"/>
      <c r="B104" s="76" t="s">
        <v>360</v>
      </c>
      <c r="C104" s="76"/>
      <c r="D104" s="76"/>
      <c r="E104" s="76"/>
      <c r="F104" s="76"/>
      <c r="G104" s="76" t="s">
        <v>360</v>
      </c>
      <c r="H104" s="77"/>
      <c r="I104" s="76" t="s">
        <v>361</v>
      </c>
      <c r="J104" s="76" t="s">
        <v>434</v>
      </c>
      <c r="K104" s="76" t="s">
        <v>384</v>
      </c>
      <c r="L104" s="76" t="s">
        <v>786</v>
      </c>
      <c r="M104" s="76" t="s">
        <v>808</v>
      </c>
      <c r="N104" s="76" t="s">
        <v>809</v>
      </c>
      <c r="O104" s="76" t="s">
        <v>644</v>
      </c>
      <c r="P104" s="76" t="s">
        <v>810</v>
      </c>
      <c r="Q104" s="76" t="s">
        <v>811</v>
      </c>
      <c r="R104" s="76"/>
      <c r="S104" s="83">
        <v>500000000</v>
      </c>
      <c r="T104" s="76"/>
      <c r="U104" s="80" t="s">
        <v>812</v>
      </c>
      <c r="V104" s="76"/>
      <c r="W104" s="80"/>
      <c r="X104" s="80"/>
      <c r="Y104" s="80"/>
      <c r="Z104" s="80"/>
      <c r="AA104" s="80"/>
      <c r="AB104" s="80"/>
      <c r="AC104" s="80"/>
      <c r="AD104" s="81"/>
    </row>
    <row r="105" spans="1:30" ht="409.6" x14ac:dyDescent="0.3">
      <c r="A105" s="76" t="s">
        <v>360</v>
      </c>
      <c r="B105" s="76" t="s">
        <v>360</v>
      </c>
      <c r="C105" s="76"/>
      <c r="D105" s="76"/>
      <c r="E105" s="76"/>
      <c r="F105" s="76"/>
      <c r="G105" s="76" t="s">
        <v>360</v>
      </c>
      <c r="H105" s="77"/>
      <c r="I105" s="76" t="s">
        <v>361</v>
      </c>
      <c r="J105" s="76" t="s">
        <v>434</v>
      </c>
      <c r="K105" s="76" t="s">
        <v>384</v>
      </c>
      <c r="L105" s="76" t="s">
        <v>786</v>
      </c>
      <c r="M105" s="76" t="s">
        <v>808</v>
      </c>
      <c r="N105" s="76" t="s">
        <v>813</v>
      </c>
      <c r="O105" s="76" t="s">
        <v>644</v>
      </c>
      <c r="P105" s="76" t="s">
        <v>814</v>
      </c>
      <c r="Q105" s="76" t="s">
        <v>815</v>
      </c>
      <c r="R105" s="76" t="s">
        <v>388</v>
      </c>
      <c r="S105" s="83">
        <v>8000000000</v>
      </c>
      <c r="T105" s="79">
        <v>46295</v>
      </c>
      <c r="U105" s="80" t="s">
        <v>816</v>
      </c>
      <c r="V105" s="76"/>
      <c r="W105" s="80"/>
      <c r="X105" s="80"/>
      <c r="Y105" s="80"/>
      <c r="Z105" s="80"/>
      <c r="AA105" s="80"/>
      <c r="AB105" s="80"/>
      <c r="AC105" s="80" t="s">
        <v>817</v>
      </c>
      <c r="AD105" s="81" t="s">
        <v>818</v>
      </c>
    </row>
    <row r="106" spans="1:30" ht="171.6" x14ac:dyDescent="0.3">
      <c r="A106" s="76"/>
      <c r="B106" s="76" t="s">
        <v>360</v>
      </c>
      <c r="C106" s="76"/>
      <c r="D106" s="76"/>
      <c r="E106" s="76"/>
      <c r="F106" s="76"/>
      <c r="G106" s="76" t="s">
        <v>360</v>
      </c>
      <c r="H106" s="77"/>
      <c r="I106" s="76" t="s">
        <v>361</v>
      </c>
      <c r="J106" s="76" t="s">
        <v>434</v>
      </c>
      <c r="K106" s="76" t="s">
        <v>384</v>
      </c>
      <c r="L106" s="76" t="s">
        <v>786</v>
      </c>
      <c r="M106" s="76" t="s">
        <v>808</v>
      </c>
      <c r="N106" s="76" t="s">
        <v>813</v>
      </c>
      <c r="O106" s="76" t="s">
        <v>644</v>
      </c>
      <c r="P106" s="76" t="s">
        <v>810</v>
      </c>
      <c r="Q106" s="76" t="s">
        <v>819</v>
      </c>
      <c r="R106" s="76" t="s">
        <v>388</v>
      </c>
      <c r="S106" s="83">
        <v>500000000</v>
      </c>
      <c r="T106" s="79">
        <v>46295</v>
      </c>
      <c r="U106" s="80" t="s">
        <v>820</v>
      </c>
      <c r="V106" s="76" t="s">
        <v>371</v>
      </c>
      <c r="W106" s="80" t="s">
        <v>821</v>
      </c>
      <c r="X106" s="80"/>
      <c r="Y106" s="80"/>
      <c r="Z106" s="80"/>
      <c r="AA106" s="80"/>
      <c r="AB106" s="80"/>
      <c r="AC106" s="80"/>
      <c r="AD106" s="81"/>
    </row>
    <row r="107" spans="1:30" ht="202.8" x14ac:dyDescent="0.3">
      <c r="A107" s="76"/>
      <c r="B107" s="76" t="s">
        <v>360</v>
      </c>
      <c r="C107" s="76"/>
      <c r="D107" s="76"/>
      <c r="E107" s="76"/>
      <c r="F107" s="76"/>
      <c r="G107" s="76" t="s">
        <v>360</v>
      </c>
      <c r="H107" s="77"/>
      <c r="I107" s="76" t="s">
        <v>361</v>
      </c>
      <c r="J107" s="76" t="s">
        <v>434</v>
      </c>
      <c r="K107" s="76" t="s">
        <v>384</v>
      </c>
      <c r="L107" s="76" t="s">
        <v>786</v>
      </c>
      <c r="M107" s="76" t="s">
        <v>808</v>
      </c>
      <c r="N107" s="76" t="s">
        <v>813</v>
      </c>
      <c r="O107" s="76" t="s">
        <v>644</v>
      </c>
      <c r="P107" s="76" t="s">
        <v>810</v>
      </c>
      <c r="Q107" s="76" t="s">
        <v>822</v>
      </c>
      <c r="R107" s="76" t="s">
        <v>388</v>
      </c>
      <c r="S107" s="83">
        <v>1000000000</v>
      </c>
      <c r="T107" s="79">
        <v>46295</v>
      </c>
      <c r="U107" s="80" t="s">
        <v>823</v>
      </c>
      <c r="V107" s="76" t="s">
        <v>371</v>
      </c>
      <c r="W107" s="80" t="s">
        <v>821</v>
      </c>
      <c r="X107" s="80"/>
      <c r="Y107" s="80"/>
      <c r="Z107" s="80"/>
      <c r="AA107" s="80"/>
      <c r="AB107" s="80"/>
      <c r="AC107" s="80"/>
      <c r="AD107" s="81"/>
    </row>
    <row r="108" spans="1:30" ht="202.8" x14ac:dyDescent="0.3">
      <c r="A108" s="76"/>
      <c r="B108" s="76" t="s">
        <v>360</v>
      </c>
      <c r="C108" s="76"/>
      <c r="D108" s="76"/>
      <c r="E108" s="76"/>
      <c r="F108" s="76"/>
      <c r="G108" s="76" t="s">
        <v>360</v>
      </c>
      <c r="H108" s="77"/>
      <c r="I108" s="76" t="s">
        <v>361</v>
      </c>
      <c r="J108" s="76" t="s">
        <v>434</v>
      </c>
      <c r="K108" s="76" t="s">
        <v>384</v>
      </c>
      <c r="L108" s="76" t="s">
        <v>786</v>
      </c>
      <c r="M108" s="76" t="s">
        <v>808</v>
      </c>
      <c r="N108" s="76" t="s">
        <v>824</v>
      </c>
      <c r="O108" s="76" t="s">
        <v>644</v>
      </c>
      <c r="P108" s="76"/>
      <c r="Q108" s="76"/>
      <c r="R108" s="76" t="s">
        <v>426</v>
      </c>
      <c r="S108" s="76">
        <v>0</v>
      </c>
      <c r="T108" s="76" t="s">
        <v>426</v>
      </c>
      <c r="U108" s="80" t="s">
        <v>825</v>
      </c>
      <c r="V108" s="76" t="s">
        <v>371</v>
      </c>
      <c r="W108" s="80"/>
      <c r="X108" s="80"/>
      <c r="Y108" s="80"/>
      <c r="Z108" s="80"/>
      <c r="AA108" s="80"/>
      <c r="AB108" s="80"/>
      <c r="AC108" s="80"/>
      <c r="AD108" s="81"/>
    </row>
    <row r="109" spans="1:30" ht="265.2" x14ac:dyDescent="0.3">
      <c r="A109" s="76"/>
      <c r="B109" s="76" t="s">
        <v>360</v>
      </c>
      <c r="C109" s="76"/>
      <c r="D109" s="76" t="s">
        <v>360</v>
      </c>
      <c r="E109" s="76"/>
      <c r="F109" s="76"/>
      <c r="G109" s="76"/>
      <c r="H109" s="77"/>
      <c r="I109" s="76" t="s">
        <v>361</v>
      </c>
      <c r="J109" s="76" t="s">
        <v>434</v>
      </c>
      <c r="K109" s="76" t="s">
        <v>384</v>
      </c>
      <c r="L109" s="76" t="s">
        <v>786</v>
      </c>
      <c r="M109" s="76" t="s">
        <v>826</v>
      </c>
      <c r="N109" s="76" t="s">
        <v>827</v>
      </c>
      <c r="O109" s="76" t="s">
        <v>644</v>
      </c>
      <c r="P109" s="76" t="s">
        <v>828</v>
      </c>
      <c r="Q109" s="76"/>
      <c r="R109" s="76" t="s">
        <v>426</v>
      </c>
      <c r="S109" s="76">
        <v>0</v>
      </c>
      <c r="T109" s="76" t="s">
        <v>426</v>
      </c>
      <c r="U109" s="80" t="s">
        <v>829</v>
      </c>
      <c r="V109" s="76" t="s">
        <v>371</v>
      </c>
      <c r="W109" s="80"/>
      <c r="X109" s="80"/>
      <c r="Y109" s="80"/>
      <c r="Z109" s="80"/>
      <c r="AA109" s="80"/>
      <c r="AB109" s="80"/>
      <c r="AC109" s="80"/>
      <c r="AD109" s="81"/>
    </row>
    <row r="110" spans="1:30" ht="265.2" x14ac:dyDescent="0.3">
      <c r="A110" s="76"/>
      <c r="B110" s="76" t="s">
        <v>360</v>
      </c>
      <c r="C110" s="76"/>
      <c r="D110" s="76"/>
      <c r="E110" s="76"/>
      <c r="F110" s="76"/>
      <c r="G110" s="76"/>
      <c r="H110" s="77"/>
      <c r="I110" s="76" t="s">
        <v>361</v>
      </c>
      <c r="J110" s="76" t="s">
        <v>434</v>
      </c>
      <c r="K110" s="76" t="s">
        <v>384</v>
      </c>
      <c r="L110" s="76" t="s">
        <v>786</v>
      </c>
      <c r="M110" s="76" t="s">
        <v>826</v>
      </c>
      <c r="N110" s="76" t="s">
        <v>830</v>
      </c>
      <c r="O110" s="76" t="s">
        <v>644</v>
      </c>
      <c r="P110" s="76" t="s">
        <v>831</v>
      </c>
      <c r="Q110" s="76" t="s">
        <v>832</v>
      </c>
      <c r="R110" s="76" t="s">
        <v>388</v>
      </c>
      <c r="S110" s="83">
        <v>6000000000</v>
      </c>
      <c r="T110" s="79">
        <v>46295</v>
      </c>
      <c r="U110" s="80" t="s">
        <v>833</v>
      </c>
      <c r="V110" s="76" t="s">
        <v>371</v>
      </c>
      <c r="W110" s="80" t="s">
        <v>834</v>
      </c>
      <c r="X110" s="80" t="s">
        <v>835</v>
      </c>
      <c r="Y110" s="80"/>
      <c r="Z110" s="80"/>
      <c r="AA110" s="80"/>
      <c r="AB110" s="80"/>
      <c r="AC110" s="80"/>
      <c r="AD110" s="81"/>
    </row>
    <row r="111" spans="1:30" ht="187.2" x14ac:dyDescent="0.3">
      <c r="A111" s="76"/>
      <c r="B111" s="76" t="s">
        <v>360</v>
      </c>
      <c r="C111" s="76"/>
      <c r="D111" s="76"/>
      <c r="E111" s="76"/>
      <c r="F111" s="76"/>
      <c r="G111" s="76"/>
      <c r="H111" s="77"/>
      <c r="I111" s="76" t="s">
        <v>361</v>
      </c>
      <c r="J111" s="76" t="s">
        <v>434</v>
      </c>
      <c r="K111" s="76" t="s">
        <v>384</v>
      </c>
      <c r="L111" s="76" t="s">
        <v>786</v>
      </c>
      <c r="M111" s="76" t="s">
        <v>836</v>
      </c>
      <c r="N111" s="76" t="s">
        <v>837</v>
      </c>
      <c r="O111" s="76" t="s">
        <v>644</v>
      </c>
      <c r="P111" s="76" t="s">
        <v>838</v>
      </c>
      <c r="Q111" s="76"/>
      <c r="R111" s="76" t="s">
        <v>675</v>
      </c>
      <c r="S111" s="83">
        <v>553600000</v>
      </c>
      <c r="T111" s="76" t="s">
        <v>491</v>
      </c>
      <c r="U111" s="80" t="s">
        <v>839</v>
      </c>
      <c r="V111" s="76" t="s">
        <v>428</v>
      </c>
      <c r="W111" s="80"/>
      <c r="X111" s="80"/>
      <c r="Y111" s="80"/>
      <c r="Z111" s="80"/>
      <c r="AA111" s="80"/>
      <c r="AB111" s="80"/>
      <c r="AC111" s="80"/>
      <c r="AD111" s="81"/>
    </row>
    <row r="112" spans="1:30" ht="409.6" x14ac:dyDescent="0.3">
      <c r="A112" s="76"/>
      <c r="B112" s="76" t="s">
        <v>360</v>
      </c>
      <c r="C112" s="76"/>
      <c r="D112" s="76"/>
      <c r="E112" s="76"/>
      <c r="F112" s="76"/>
      <c r="G112" s="76"/>
      <c r="H112" s="77"/>
      <c r="I112" s="76" t="s">
        <v>361</v>
      </c>
      <c r="J112" s="76" t="s">
        <v>434</v>
      </c>
      <c r="K112" s="76" t="s">
        <v>384</v>
      </c>
      <c r="L112" s="76" t="s">
        <v>786</v>
      </c>
      <c r="M112" s="76" t="s">
        <v>836</v>
      </c>
      <c r="N112" s="76" t="s">
        <v>840</v>
      </c>
      <c r="O112" s="76" t="s">
        <v>644</v>
      </c>
      <c r="P112" s="76" t="s">
        <v>838</v>
      </c>
      <c r="Q112" s="76"/>
      <c r="R112" s="76" t="s">
        <v>388</v>
      </c>
      <c r="S112" s="83">
        <f>SUM(2000000*5)</f>
        <v>10000000</v>
      </c>
      <c r="T112" s="79">
        <v>46295</v>
      </c>
      <c r="U112" s="80" t="s">
        <v>841</v>
      </c>
      <c r="V112" s="76" t="s">
        <v>428</v>
      </c>
      <c r="W112" s="80"/>
      <c r="X112" s="80" t="s">
        <v>382</v>
      </c>
      <c r="Y112" s="80" t="s">
        <v>842</v>
      </c>
      <c r="Z112" s="80"/>
      <c r="AA112" s="80" t="s">
        <v>843</v>
      </c>
      <c r="AB112" s="80" t="s">
        <v>844</v>
      </c>
      <c r="AC112" s="80"/>
      <c r="AD112" s="81"/>
    </row>
    <row r="113" spans="1:30" ht="296.39999999999998" x14ac:dyDescent="0.3">
      <c r="A113" s="76"/>
      <c r="B113" s="76" t="s">
        <v>360</v>
      </c>
      <c r="C113" s="76"/>
      <c r="D113" s="76"/>
      <c r="E113" s="76" t="s">
        <v>360</v>
      </c>
      <c r="F113" s="76"/>
      <c r="G113" s="76"/>
      <c r="H113" s="77"/>
      <c r="I113" s="76" t="s">
        <v>361</v>
      </c>
      <c r="J113" s="76" t="s">
        <v>434</v>
      </c>
      <c r="K113" s="76" t="s">
        <v>384</v>
      </c>
      <c r="L113" s="76" t="s">
        <v>786</v>
      </c>
      <c r="M113" s="76" t="s">
        <v>378</v>
      </c>
      <c r="N113" s="76" t="s">
        <v>845</v>
      </c>
      <c r="O113" s="76" t="s">
        <v>644</v>
      </c>
      <c r="P113" s="76" t="s">
        <v>846</v>
      </c>
      <c r="Q113" s="76"/>
      <c r="R113" s="76" t="s">
        <v>388</v>
      </c>
      <c r="S113" s="83">
        <v>500000000</v>
      </c>
      <c r="T113" s="79">
        <v>46295</v>
      </c>
      <c r="U113" s="80" t="s">
        <v>847</v>
      </c>
      <c r="V113" s="76" t="s">
        <v>371</v>
      </c>
      <c r="W113" s="80"/>
      <c r="X113" s="80"/>
      <c r="Y113" s="80"/>
      <c r="Z113" s="80"/>
      <c r="AA113" s="80"/>
      <c r="AB113" s="80"/>
      <c r="AC113" s="80" t="s">
        <v>848</v>
      </c>
      <c r="AD113" s="81" t="s">
        <v>849</v>
      </c>
    </row>
    <row r="114" spans="1:30" ht="409.6" x14ac:dyDescent="0.3">
      <c r="A114" s="76" t="s">
        <v>360</v>
      </c>
      <c r="B114" s="76"/>
      <c r="C114" s="76"/>
      <c r="D114" s="76"/>
      <c r="E114" s="76"/>
      <c r="F114" s="76"/>
      <c r="G114" s="76"/>
      <c r="H114" s="77"/>
      <c r="I114" s="76" t="s">
        <v>361</v>
      </c>
      <c r="J114" s="76" t="s">
        <v>434</v>
      </c>
      <c r="K114" s="76" t="s">
        <v>384</v>
      </c>
      <c r="L114" s="76" t="s">
        <v>850</v>
      </c>
      <c r="M114" s="76" t="s">
        <v>851</v>
      </c>
      <c r="N114" s="76" t="s">
        <v>852</v>
      </c>
      <c r="O114" s="76" t="s">
        <v>644</v>
      </c>
      <c r="P114" s="76" t="s">
        <v>853</v>
      </c>
      <c r="Q114" s="76" t="s">
        <v>854</v>
      </c>
      <c r="R114" s="76" t="s">
        <v>675</v>
      </c>
      <c r="S114" s="83">
        <v>250000000</v>
      </c>
      <c r="T114" s="76" t="s">
        <v>491</v>
      </c>
      <c r="U114" s="80" t="s">
        <v>855</v>
      </c>
      <c r="V114" s="76" t="s">
        <v>371</v>
      </c>
      <c r="W114" s="80" t="s">
        <v>647</v>
      </c>
      <c r="X114" s="80" t="s">
        <v>380</v>
      </c>
      <c r="Y114" s="80" t="s">
        <v>856</v>
      </c>
      <c r="Z114" s="80"/>
      <c r="AA114" s="80" t="s">
        <v>857</v>
      </c>
      <c r="AB114" s="80"/>
      <c r="AC114" s="80" t="s">
        <v>858</v>
      </c>
      <c r="AD114" s="81" t="s">
        <v>859</v>
      </c>
    </row>
    <row r="115" spans="1:30" ht="265.2" x14ac:dyDescent="0.3">
      <c r="A115" s="76" t="s">
        <v>360</v>
      </c>
      <c r="B115" s="76"/>
      <c r="C115" s="76"/>
      <c r="D115" s="76"/>
      <c r="E115" s="76"/>
      <c r="F115" s="76"/>
      <c r="G115" s="76"/>
      <c r="H115" s="77"/>
      <c r="I115" s="76" t="s">
        <v>361</v>
      </c>
      <c r="J115" s="76" t="s">
        <v>434</v>
      </c>
      <c r="K115" s="76" t="s">
        <v>384</v>
      </c>
      <c r="L115" s="76" t="s">
        <v>850</v>
      </c>
      <c r="M115" s="76" t="s">
        <v>851</v>
      </c>
      <c r="N115" s="76" t="s">
        <v>860</v>
      </c>
      <c r="O115" s="76" t="s">
        <v>644</v>
      </c>
      <c r="P115" s="76" t="s">
        <v>861</v>
      </c>
      <c r="Q115" s="76" t="s">
        <v>862</v>
      </c>
      <c r="R115" s="76" t="s">
        <v>388</v>
      </c>
      <c r="S115" s="83">
        <v>40000000</v>
      </c>
      <c r="T115" s="79">
        <v>46295</v>
      </c>
      <c r="U115" s="80" t="s">
        <v>863</v>
      </c>
      <c r="V115" s="76" t="s">
        <v>371</v>
      </c>
      <c r="W115" s="80" t="s">
        <v>549</v>
      </c>
      <c r="X115" s="80" t="s">
        <v>380</v>
      </c>
      <c r="Y115" s="80" t="s">
        <v>864</v>
      </c>
      <c r="Z115" s="80"/>
      <c r="AA115" s="80"/>
      <c r="AB115" s="80"/>
      <c r="AC115" s="80"/>
      <c r="AD115" s="81"/>
    </row>
    <row r="116" spans="1:30" ht="409.6" x14ac:dyDescent="0.3">
      <c r="A116" s="76" t="s">
        <v>360</v>
      </c>
      <c r="B116" s="76"/>
      <c r="C116" s="76"/>
      <c r="D116" s="76" t="s">
        <v>360</v>
      </c>
      <c r="E116" s="76"/>
      <c r="F116" s="76"/>
      <c r="G116" s="76"/>
      <c r="H116" s="77"/>
      <c r="I116" s="76" t="s">
        <v>361</v>
      </c>
      <c r="J116" s="76" t="s">
        <v>434</v>
      </c>
      <c r="K116" s="76" t="s">
        <v>384</v>
      </c>
      <c r="L116" s="76" t="s">
        <v>850</v>
      </c>
      <c r="M116" s="76" t="s">
        <v>865</v>
      </c>
      <c r="N116" s="76" t="s">
        <v>866</v>
      </c>
      <c r="O116" s="76" t="s">
        <v>644</v>
      </c>
      <c r="P116" s="76" t="s">
        <v>861</v>
      </c>
      <c r="Q116" s="76"/>
      <c r="R116" s="76" t="s">
        <v>388</v>
      </c>
      <c r="S116" s="83">
        <v>225000000</v>
      </c>
      <c r="T116" s="79">
        <v>46295</v>
      </c>
      <c r="U116" s="80" t="s">
        <v>867</v>
      </c>
      <c r="V116" s="76" t="s">
        <v>371</v>
      </c>
      <c r="W116" s="80" t="s">
        <v>549</v>
      </c>
      <c r="X116" s="80" t="s">
        <v>380</v>
      </c>
      <c r="Y116" s="80" t="s">
        <v>868</v>
      </c>
      <c r="Z116" s="80"/>
      <c r="AA116" s="80" t="s">
        <v>857</v>
      </c>
      <c r="AB116" s="80"/>
      <c r="AC116" s="80" t="s">
        <v>869</v>
      </c>
      <c r="AD116" s="81" t="s">
        <v>870</v>
      </c>
    </row>
    <row r="117" spans="1:30" ht="327.60000000000002" x14ac:dyDescent="0.3">
      <c r="A117" s="76" t="s">
        <v>360</v>
      </c>
      <c r="B117" s="76"/>
      <c r="C117" s="76"/>
      <c r="D117" s="76"/>
      <c r="E117" s="76"/>
      <c r="F117" s="76"/>
      <c r="G117" s="76"/>
      <c r="H117" s="77"/>
      <c r="I117" s="76" t="s">
        <v>361</v>
      </c>
      <c r="J117" s="76" t="s">
        <v>434</v>
      </c>
      <c r="K117" s="76" t="s">
        <v>384</v>
      </c>
      <c r="L117" s="76" t="s">
        <v>850</v>
      </c>
      <c r="M117" s="76" t="s">
        <v>865</v>
      </c>
      <c r="N117" s="76" t="s">
        <v>871</v>
      </c>
      <c r="O117" s="76" t="s">
        <v>644</v>
      </c>
      <c r="P117" s="76" t="s">
        <v>861</v>
      </c>
      <c r="Q117" s="76"/>
      <c r="R117" s="76" t="s">
        <v>675</v>
      </c>
      <c r="S117" s="83">
        <v>10000000</v>
      </c>
      <c r="T117" s="79" t="s">
        <v>491</v>
      </c>
      <c r="U117" s="80" t="s">
        <v>872</v>
      </c>
      <c r="V117" s="76" t="s">
        <v>371</v>
      </c>
      <c r="W117" s="80" t="s">
        <v>549</v>
      </c>
      <c r="X117" s="80" t="s">
        <v>596</v>
      </c>
      <c r="Y117" s="80" t="s">
        <v>873</v>
      </c>
      <c r="Z117" s="80"/>
      <c r="AA117" s="80"/>
      <c r="AB117" s="80"/>
      <c r="AC117" s="80" t="s">
        <v>874</v>
      </c>
      <c r="AD117" s="81" t="s">
        <v>875</v>
      </c>
    </row>
    <row r="118" spans="1:30" ht="409.6" x14ac:dyDescent="0.3">
      <c r="A118" s="76" t="s">
        <v>360</v>
      </c>
      <c r="B118" s="76"/>
      <c r="C118" s="76"/>
      <c r="D118" s="76"/>
      <c r="E118" s="76" t="s">
        <v>360</v>
      </c>
      <c r="F118" s="76"/>
      <c r="G118" s="76"/>
      <c r="H118" s="77"/>
      <c r="I118" s="76" t="s">
        <v>361</v>
      </c>
      <c r="J118" s="76" t="s">
        <v>434</v>
      </c>
      <c r="K118" s="76" t="s">
        <v>384</v>
      </c>
      <c r="L118" s="76" t="s">
        <v>850</v>
      </c>
      <c r="M118" s="76" t="s">
        <v>865</v>
      </c>
      <c r="N118" s="76" t="s">
        <v>876</v>
      </c>
      <c r="O118" s="76" t="s">
        <v>644</v>
      </c>
      <c r="P118" s="76" t="s">
        <v>861</v>
      </c>
      <c r="Q118" s="76"/>
      <c r="R118" s="76" t="s">
        <v>675</v>
      </c>
      <c r="S118" s="83">
        <v>10000000</v>
      </c>
      <c r="T118" s="79" t="s">
        <v>491</v>
      </c>
      <c r="U118" s="80" t="s">
        <v>877</v>
      </c>
      <c r="V118" s="76" t="s">
        <v>371</v>
      </c>
      <c r="W118" s="80" t="s">
        <v>549</v>
      </c>
      <c r="X118" s="80"/>
      <c r="Y118" s="80" t="s">
        <v>878</v>
      </c>
      <c r="Z118" s="80"/>
      <c r="AA118" s="76" t="s">
        <v>374</v>
      </c>
      <c r="AB118" s="82">
        <v>0.5</v>
      </c>
      <c r="AC118" s="80"/>
      <c r="AD118" s="81"/>
    </row>
    <row r="119" spans="1:30" ht="390" x14ac:dyDescent="0.3">
      <c r="A119" s="76" t="s">
        <v>360</v>
      </c>
      <c r="B119" s="76"/>
      <c r="C119" s="76"/>
      <c r="D119" s="76"/>
      <c r="E119" s="76"/>
      <c r="F119" s="76"/>
      <c r="G119" s="76" t="s">
        <v>360</v>
      </c>
      <c r="H119" s="77"/>
      <c r="I119" s="76" t="s">
        <v>361</v>
      </c>
      <c r="J119" s="76" t="s">
        <v>434</v>
      </c>
      <c r="K119" s="76" t="s">
        <v>384</v>
      </c>
      <c r="L119" s="76" t="s">
        <v>850</v>
      </c>
      <c r="M119" s="76" t="s">
        <v>879</v>
      </c>
      <c r="N119" s="76" t="s">
        <v>880</v>
      </c>
      <c r="O119" s="76" t="s">
        <v>881</v>
      </c>
      <c r="P119" s="76" t="s">
        <v>882</v>
      </c>
      <c r="Q119" s="76"/>
      <c r="R119" s="76" t="s">
        <v>388</v>
      </c>
      <c r="S119" s="83">
        <f>SUM(150000000+400000000)</f>
        <v>550000000</v>
      </c>
      <c r="T119" s="79">
        <v>46295</v>
      </c>
      <c r="U119" s="80" t="s">
        <v>883</v>
      </c>
      <c r="V119" s="76" t="s">
        <v>428</v>
      </c>
      <c r="W119" s="80"/>
      <c r="X119" s="80" t="s">
        <v>596</v>
      </c>
      <c r="Y119" s="80" t="s">
        <v>884</v>
      </c>
      <c r="Z119" s="80"/>
      <c r="AA119" s="76" t="s">
        <v>374</v>
      </c>
      <c r="AB119" s="82">
        <v>0.5</v>
      </c>
      <c r="AC119" s="80"/>
      <c r="AD119" s="81"/>
    </row>
    <row r="120" spans="1:30" ht="280.8" x14ac:dyDescent="0.3">
      <c r="A120" s="76" t="s">
        <v>360</v>
      </c>
      <c r="B120" s="76"/>
      <c r="C120" s="76"/>
      <c r="D120" s="76"/>
      <c r="E120" s="76"/>
      <c r="F120" s="76"/>
      <c r="G120" s="76" t="s">
        <v>360</v>
      </c>
      <c r="H120" s="77"/>
      <c r="I120" s="76" t="s">
        <v>361</v>
      </c>
      <c r="J120" s="76" t="s">
        <v>434</v>
      </c>
      <c r="K120" s="76" t="s">
        <v>384</v>
      </c>
      <c r="L120" s="76" t="s">
        <v>850</v>
      </c>
      <c r="M120" s="76" t="s">
        <v>879</v>
      </c>
      <c r="N120" s="76" t="s">
        <v>885</v>
      </c>
      <c r="O120" s="76" t="s">
        <v>644</v>
      </c>
      <c r="P120" s="76" t="s">
        <v>886</v>
      </c>
      <c r="Q120" s="76"/>
      <c r="R120" s="76" t="s">
        <v>426</v>
      </c>
      <c r="S120" s="83">
        <v>0</v>
      </c>
      <c r="T120" s="76" t="s">
        <v>426</v>
      </c>
      <c r="U120" s="80" t="s">
        <v>887</v>
      </c>
      <c r="V120" s="76" t="s">
        <v>428</v>
      </c>
      <c r="W120" s="80"/>
      <c r="X120" s="80" t="s">
        <v>596</v>
      </c>
      <c r="Y120" s="80"/>
      <c r="Z120" s="80"/>
      <c r="AA120" s="80"/>
      <c r="AB120" s="80"/>
      <c r="AC120" s="80"/>
      <c r="AD120" s="81"/>
    </row>
    <row r="121" spans="1:30" ht="374.4" x14ac:dyDescent="0.3">
      <c r="A121" s="76" t="s">
        <v>360</v>
      </c>
      <c r="B121" s="76"/>
      <c r="C121" s="76"/>
      <c r="D121" s="76"/>
      <c r="E121" s="76"/>
      <c r="F121" s="76"/>
      <c r="G121" s="76" t="s">
        <v>360</v>
      </c>
      <c r="H121" s="77"/>
      <c r="I121" s="76" t="s">
        <v>361</v>
      </c>
      <c r="J121" s="76" t="s">
        <v>434</v>
      </c>
      <c r="K121" s="76" t="s">
        <v>384</v>
      </c>
      <c r="L121" s="76" t="s">
        <v>850</v>
      </c>
      <c r="M121" s="76" t="s">
        <v>879</v>
      </c>
      <c r="N121" s="76" t="s">
        <v>888</v>
      </c>
      <c r="O121" s="76" t="s">
        <v>644</v>
      </c>
      <c r="P121" s="76" t="s">
        <v>889</v>
      </c>
      <c r="Q121" s="76"/>
      <c r="R121" s="76" t="s">
        <v>388</v>
      </c>
      <c r="S121" s="83">
        <v>50000000</v>
      </c>
      <c r="T121" s="79">
        <v>46295</v>
      </c>
      <c r="U121" s="80" t="s">
        <v>890</v>
      </c>
      <c r="V121" s="76" t="s">
        <v>371</v>
      </c>
      <c r="W121" s="80" t="s">
        <v>549</v>
      </c>
      <c r="X121" s="80" t="s">
        <v>380</v>
      </c>
      <c r="Y121" s="80"/>
      <c r="Z121" s="80"/>
      <c r="AA121" s="80" t="s">
        <v>891</v>
      </c>
      <c r="AB121" s="82">
        <v>0.3</v>
      </c>
      <c r="AC121" s="80" t="s">
        <v>892</v>
      </c>
      <c r="AD121" s="81" t="s">
        <v>893</v>
      </c>
    </row>
    <row r="122" spans="1:30" ht="409.6" x14ac:dyDescent="0.3">
      <c r="A122" s="76" t="s">
        <v>360</v>
      </c>
      <c r="B122" s="76" t="s">
        <v>360</v>
      </c>
      <c r="C122" s="76" t="s">
        <v>360</v>
      </c>
      <c r="D122" s="76"/>
      <c r="E122" s="76"/>
      <c r="F122" s="76"/>
      <c r="G122" s="76"/>
      <c r="H122" s="77"/>
      <c r="I122" s="76" t="s">
        <v>361</v>
      </c>
      <c r="J122" s="76" t="s">
        <v>434</v>
      </c>
      <c r="K122" s="76" t="s">
        <v>384</v>
      </c>
      <c r="L122" s="76" t="s">
        <v>850</v>
      </c>
      <c r="M122" s="76" t="s">
        <v>894</v>
      </c>
      <c r="N122" s="76" t="s">
        <v>895</v>
      </c>
      <c r="O122" s="76" t="s">
        <v>644</v>
      </c>
      <c r="P122" s="76" t="s">
        <v>896</v>
      </c>
      <c r="Q122" s="76"/>
      <c r="R122" s="76" t="s">
        <v>388</v>
      </c>
      <c r="S122" s="83">
        <v>500000000</v>
      </c>
      <c r="T122" s="79">
        <v>46295</v>
      </c>
      <c r="U122" s="80" t="s">
        <v>897</v>
      </c>
      <c r="V122" s="76" t="s">
        <v>371</v>
      </c>
      <c r="W122" s="80" t="s">
        <v>549</v>
      </c>
      <c r="X122" s="80" t="s">
        <v>543</v>
      </c>
      <c r="Y122" s="80" t="s">
        <v>898</v>
      </c>
      <c r="Z122" s="80"/>
      <c r="AA122" s="80"/>
      <c r="AB122" s="80"/>
      <c r="AC122" s="80"/>
      <c r="AD122" s="81"/>
    </row>
    <row r="123" spans="1:30" ht="46.8" x14ac:dyDescent="0.3">
      <c r="A123" s="76" t="s">
        <v>360</v>
      </c>
      <c r="B123" s="76"/>
      <c r="C123" s="76"/>
      <c r="D123" s="76"/>
      <c r="E123" s="76"/>
      <c r="F123" s="76"/>
      <c r="G123" s="76"/>
      <c r="H123" s="77"/>
      <c r="I123" s="76" t="s">
        <v>361</v>
      </c>
      <c r="J123" s="76" t="s">
        <v>434</v>
      </c>
      <c r="K123" s="76" t="s">
        <v>384</v>
      </c>
      <c r="L123" s="76" t="s">
        <v>850</v>
      </c>
      <c r="M123" s="76" t="s">
        <v>894</v>
      </c>
      <c r="N123" s="76" t="s">
        <v>899</v>
      </c>
      <c r="O123" s="76" t="s">
        <v>644</v>
      </c>
      <c r="P123" s="76" t="s">
        <v>332</v>
      </c>
      <c r="Q123" s="76" t="s">
        <v>900</v>
      </c>
      <c r="R123" s="76" t="s">
        <v>388</v>
      </c>
      <c r="S123" s="83">
        <v>50000000</v>
      </c>
      <c r="T123" s="79">
        <v>46295</v>
      </c>
      <c r="U123" s="80" t="s">
        <v>901</v>
      </c>
      <c r="V123" s="76" t="s">
        <v>371</v>
      </c>
      <c r="W123" s="80" t="s">
        <v>549</v>
      </c>
      <c r="X123" s="80" t="s">
        <v>543</v>
      </c>
      <c r="Y123" s="80" t="s">
        <v>902</v>
      </c>
      <c r="Z123" s="80"/>
      <c r="AA123" s="80"/>
      <c r="AB123" s="80"/>
      <c r="AC123" s="80"/>
      <c r="AD123" s="81"/>
    </row>
    <row r="124" spans="1:30" ht="124.8" x14ac:dyDescent="0.3">
      <c r="A124" s="76" t="s">
        <v>360</v>
      </c>
      <c r="B124" s="76"/>
      <c r="C124" s="76"/>
      <c r="D124" s="76"/>
      <c r="E124" s="76" t="s">
        <v>360</v>
      </c>
      <c r="F124" s="76"/>
      <c r="G124" s="76"/>
      <c r="H124" s="77"/>
      <c r="I124" s="76" t="s">
        <v>361</v>
      </c>
      <c r="J124" s="76" t="s">
        <v>434</v>
      </c>
      <c r="K124" s="76" t="s">
        <v>384</v>
      </c>
      <c r="L124" s="76" t="s">
        <v>850</v>
      </c>
      <c r="M124" s="76" t="s">
        <v>903</v>
      </c>
      <c r="N124" s="76" t="s">
        <v>904</v>
      </c>
      <c r="O124" s="76" t="s">
        <v>644</v>
      </c>
      <c r="P124" s="76" t="s">
        <v>905</v>
      </c>
      <c r="Q124" s="76" t="s">
        <v>906</v>
      </c>
      <c r="R124" s="76" t="s">
        <v>675</v>
      </c>
      <c r="S124" s="83">
        <v>3500000000</v>
      </c>
      <c r="T124" s="76" t="s">
        <v>491</v>
      </c>
      <c r="U124" s="80" t="s">
        <v>907</v>
      </c>
      <c r="V124" s="76" t="s">
        <v>428</v>
      </c>
      <c r="W124" s="80"/>
      <c r="X124" s="80" t="s">
        <v>329</v>
      </c>
      <c r="Y124" s="80"/>
      <c r="Z124" s="80"/>
      <c r="AA124" s="80"/>
      <c r="AB124" s="80"/>
      <c r="AC124" s="80" t="s">
        <v>908</v>
      </c>
      <c r="AD124" s="81" t="s">
        <v>907</v>
      </c>
    </row>
    <row r="125" spans="1:30" ht="409.6" x14ac:dyDescent="0.3">
      <c r="A125" s="76" t="s">
        <v>360</v>
      </c>
      <c r="B125" s="76" t="s">
        <v>360</v>
      </c>
      <c r="C125" s="76" t="s">
        <v>360</v>
      </c>
      <c r="D125" s="76"/>
      <c r="E125" s="76"/>
      <c r="F125" s="76"/>
      <c r="G125" s="76"/>
      <c r="H125" s="77"/>
      <c r="I125" s="76" t="s">
        <v>361</v>
      </c>
      <c r="J125" s="76" t="s">
        <v>434</v>
      </c>
      <c r="K125" s="76" t="s">
        <v>384</v>
      </c>
      <c r="L125" s="76" t="s">
        <v>850</v>
      </c>
      <c r="M125" s="76" t="s">
        <v>903</v>
      </c>
      <c r="N125" s="76" t="s">
        <v>909</v>
      </c>
      <c r="O125" s="76" t="s">
        <v>644</v>
      </c>
      <c r="P125" s="76" t="s">
        <v>910</v>
      </c>
      <c r="Q125" s="76" t="s">
        <v>911</v>
      </c>
      <c r="R125" s="76" t="s">
        <v>675</v>
      </c>
      <c r="S125" s="83">
        <v>550000000</v>
      </c>
      <c r="T125" s="76" t="s">
        <v>491</v>
      </c>
      <c r="U125" s="80" t="s">
        <v>912</v>
      </c>
      <c r="V125" s="76" t="s">
        <v>913</v>
      </c>
      <c r="W125" s="80" t="s">
        <v>647</v>
      </c>
      <c r="X125" s="80" t="s">
        <v>408</v>
      </c>
      <c r="Y125" s="80" t="s">
        <v>914</v>
      </c>
      <c r="Z125" s="80"/>
      <c r="AA125" s="80"/>
      <c r="AB125" s="80"/>
      <c r="AC125" s="80"/>
      <c r="AD125" s="81"/>
    </row>
    <row r="126" spans="1:30" ht="78" x14ac:dyDescent="0.3">
      <c r="A126" s="76" t="s">
        <v>360</v>
      </c>
      <c r="B126" s="76"/>
      <c r="C126" s="76"/>
      <c r="D126" s="76"/>
      <c r="E126" s="76"/>
      <c r="F126" s="76"/>
      <c r="G126" s="76"/>
      <c r="H126" s="77"/>
      <c r="I126" s="76" t="s">
        <v>361</v>
      </c>
      <c r="J126" s="76" t="s">
        <v>434</v>
      </c>
      <c r="K126" s="76" t="s">
        <v>384</v>
      </c>
      <c r="L126" s="76" t="s">
        <v>850</v>
      </c>
      <c r="M126" s="76" t="s">
        <v>903</v>
      </c>
      <c r="N126" s="76" t="s">
        <v>915</v>
      </c>
      <c r="O126" s="76" t="s">
        <v>644</v>
      </c>
      <c r="P126" s="76"/>
      <c r="Q126" s="76" t="s">
        <v>916</v>
      </c>
      <c r="R126" s="76" t="s">
        <v>675</v>
      </c>
      <c r="S126" s="83">
        <v>250000000</v>
      </c>
      <c r="T126" s="76" t="s">
        <v>491</v>
      </c>
      <c r="U126" s="80" t="s">
        <v>917</v>
      </c>
      <c r="V126" s="76"/>
      <c r="W126" s="80"/>
      <c r="X126" s="80"/>
      <c r="Y126" s="80"/>
      <c r="Z126" s="80"/>
      <c r="AA126" s="80"/>
      <c r="AB126" s="80"/>
      <c r="AC126" s="80"/>
      <c r="AD126" s="81"/>
    </row>
    <row r="127" spans="1:30" ht="171.6" x14ac:dyDescent="0.3">
      <c r="A127" s="76" t="s">
        <v>360</v>
      </c>
      <c r="B127" s="76"/>
      <c r="C127" s="76"/>
      <c r="D127" s="76"/>
      <c r="E127" s="76"/>
      <c r="F127" s="76"/>
      <c r="G127" s="76"/>
      <c r="H127" s="77"/>
      <c r="I127" s="76" t="s">
        <v>361</v>
      </c>
      <c r="J127" s="76" t="s">
        <v>434</v>
      </c>
      <c r="K127" s="76" t="s">
        <v>384</v>
      </c>
      <c r="L127" s="76" t="s">
        <v>850</v>
      </c>
      <c r="M127" s="76" t="s">
        <v>903</v>
      </c>
      <c r="N127" s="76" t="s">
        <v>918</v>
      </c>
      <c r="O127" s="76" t="s">
        <v>644</v>
      </c>
      <c r="P127" s="76"/>
      <c r="Q127" s="76"/>
      <c r="R127" s="76" t="s">
        <v>395</v>
      </c>
      <c r="S127" s="83">
        <v>20000000</v>
      </c>
      <c r="T127" s="84">
        <v>45199</v>
      </c>
      <c r="U127" s="80" t="s">
        <v>919</v>
      </c>
      <c r="V127" s="76" t="s">
        <v>428</v>
      </c>
      <c r="W127" s="80"/>
      <c r="X127" s="80"/>
      <c r="Y127" s="80"/>
      <c r="Z127" s="80"/>
      <c r="AA127" s="80"/>
      <c r="AB127" s="80"/>
      <c r="AC127" s="80"/>
      <c r="AD127" s="81"/>
    </row>
    <row r="128" spans="1:30" ht="234" x14ac:dyDescent="0.3">
      <c r="A128" s="76" t="s">
        <v>360</v>
      </c>
      <c r="B128" s="76" t="s">
        <v>360</v>
      </c>
      <c r="C128" s="76"/>
      <c r="D128" s="76"/>
      <c r="E128" s="76"/>
      <c r="F128" s="76"/>
      <c r="G128" s="76"/>
      <c r="H128" s="77"/>
      <c r="I128" s="76" t="s">
        <v>361</v>
      </c>
      <c r="J128" s="76" t="s">
        <v>434</v>
      </c>
      <c r="K128" s="76" t="s">
        <v>384</v>
      </c>
      <c r="L128" s="76" t="s">
        <v>850</v>
      </c>
      <c r="M128" s="76" t="s">
        <v>903</v>
      </c>
      <c r="N128" s="76" t="s">
        <v>920</v>
      </c>
      <c r="O128" s="76" t="s">
        <v>644</v>
      </c>
      <c r="P128" s="76" t="s">
        <v>333</v>
      </c>
      <c r="Q128" s="76" t="s">
        <v>426</v>
      </c>
      <c r="R128" s="76" t="s">
        <v>426</v>
      </c>
      <c r="S128" s="76" t="s">
        <v>426</v>
      </c>
      <c r="T128" s="76" t="s">
        <v>426</v>
      </c>
      <c r="U128" s="80" t="s">
        <v>921</v>
      </c>
      <c r="V128" s="76" t="s">
        <v>426</v>
      </c>
      <c r="W128" s="80" t="s">
        <v>426</v>
      </c>
      <c r="X128" s="80" t="s">
        <v>426</v>
      </c>
      <c r="Y128" s="80" t="s">
        <v>426</v>
      </c>
      <c r="Z128" s="80" t="s">
        <v>426</v>
      </c>
      <c r="AA128" s="80" t="s">
        <v>426</v>
      </c>
      <c r="AB128" s="80" t="s">
        <v>426</v>
      </c>
      <c r="AC128" s="80"/>
      <c r="AD128" s="81"/>
    </row>
    <row r="129" spans="1:30" ht="409.6" x14ac:dyDescent="0.3">
      <c r="A129" s="76"/>
      <c r="B129" s="76"/>
      <c r="C129" s="76"/>
      <c r="D129" s="76"/>
      <c r="E129" s="76"/>
      <c r="F129" s="76"/>
      <c r="G129" s="76"/>
      <c r="H129" s="77" t="s">
        <v>360</v>
      </c>
      <c r="I129" s="76" t="s">
        <v>361</v>
      </c>
      <c r="J129" s="76"/>
      <c r="K129" s="76" t="s">
        <v>384</v>
      </c>
      <c r="L129" s="76" t="s">
        <v>922</v>
      </c>
      <c r="M129" s="76"/>
      <c r="N129" s="76">
        <v>40701</v>
      </c>
      <c r="O129" s="76" t="s">
        <v>402</v>
      </c>
      <c r="P129" s="76" t="s">
        <v>923</v>
      </c>
      <c r="Q129" s="76" t="s">
        <v>924</v>
      </c>
      <c r="R129" s="76" t="s">
        <v>675</v>
      </c>
      <c r="S129" s="83">
        <v>11293000000</v>
      </c>
      <c r="T129" s="76" t="s">
        <v>925</v>
      </c>
      <c r="U129" s="80" t="s">
        <v>926</v>
      </c>
      <c r="V129" s="76" t="s">
        <v>428</v>
      </c>
      <c r="W129" s="80" t="s">
        <v>647</v>
      </c>
      <c r="X129" s="80" t="s">
        <v>408</v>
      </c>
      <c r="Y129" s="80" t="s">
        <v>927</v>
      </c>
      <c r="Z129" s="80" t="s">
        <v>928</v>
      </c>
      <c r="AA129" s="80"/>
      <c r="AB129" s="80"/>
      <c r="AC129" s="80" t="s">
        <v>929</v>
      </c>
      <c r="AD129" s="81"/>
    </row>
    <row r="130" spans="1:30" ht="202.8" x14ac:dyDescent="0.3">
      <c r="A130" s="76"/>
      <c r="B130" s="76"/>
      <c r="C130" s="76"/>
      <c r="D130" s="76"/>
      <c r="E130" s="76"/>
      <c r="F130" s="76"/>
      <c r="G130" s="76"/>
      <c r="H130" s="77" t="s">
        <v>360</v>
      </c>
      <c r="I130" s="76" t="s">
        <v>361</v>
      </c>
      <c r="J130" s="76"/>
      <c r="K130" s="76" t="s">
        <v>384</v>
      </c>
      <c r="L130" s="76" t="s">
        <v>922</v>
      </c>
      <c r="M130" s="76"/>
      <c r="N130" s="76">
        <v>40702</v>
      </c>
      <c r="O130" s="76" t="s">
        <v>402</v>
      </c>
      <c r="P130" s="76" t="s">
        <v>923</v>
      </c>
      <c r="Q130" s="76"/>
      <c r="R130" s="76" t="s">
        <v>930</v>
      </c>
      <c r="S130" s="83" t="s">
        <v>931</v>
      </c>
      <c r="T130" s="79">
        <v>49217</v>
      </c>
      <c r="U130" s="80" t="s">
        <v>932</v>
      </c>
      <c r="V130" s="76" t="s">
        <v>428</v>
      </c>
      <c r="W130" s="80" t="s">
        <v>933</v>
      </c>
      <c r="X130" s="80"/>
      <c r="Y130" s="80"/>
      <c r="Z130" s="80"/>
      <c r="AA130" s="80"/>
      <c r="AB130" s="80"/>
      <c r="AC130" s="80"/>
      <c r="AD130" s="81"/>
    </row>
    <row r="131" spans="1:30" ht="409.6" x14ac:dyDescent="0.3">
      <c r="A131" s="76"/>
      <c r="B131" s="76"/>
      <c r="C131" s="76"/>
      <c r="D131" s="76"/>
      <c r="E131" s="76"/>
      <c r="F131" s="76"/>
      <c r="G131" s="76"/>
      <c r="H131" s="77" t="s">
        <v>360</v>
      </c>
      <c r="I131" s="76" t="s">
        <v>361</v>
      </c>
      <c r="J131" s="76"/>
      <c r="K131" s="76" t="s">
        <v>384</v>
      </c>
      <c r="L131" s="76" t="s">
        <v>922</v>
      </c>
      <c r="M131" s="76"/>
      <c r="N131" s="76">
        <v>40704</v>
      </c>
      <c r="O131" s="76" t="s">
        <v>934</v>
      </c>
      <c r="P131" s="76" t="s">
        <v>923</v>
      </c>
      <c r="Q131" s="76"/>
      <c r="R131" s="76" t="s">
        <v>675</v>
      </c>
      <c r="S131" s="83">
        <v>3000000000</v>
      </c>
      <c r="T131" s="79" t="s">
        <v>935</v>
      </c>
      <c r="U131" s="80" t="s">
        <v>936</v>
      </c>
      <c r="V131" s="76" t="s">
        <v>371</v>
      </c>
      <c r="W131" s="80" t="s">
        <v>937</v>
      </c>
      <c r="X131" s="80" t="s">
        <v>408</v>
      </c>
      <c r="Y131" s="80" t="s">
        <v>938</v>
      </c>
      <c r="Z131" s="80"/>
      <c r="AA131" s="80"/>
      <c r="AB131" s="80"/>
      <c r="AC131" s="80"/>
      <c r="AD131" s="81"/>
    </row>
    <row r="132" spans="1:30" ht="409.6" x14ac:dyDescent="0.3">
      <c r="A132" s="76"/>
      <c r="B132" s="76"/>
      <c r="C132" s="76"/>
      <c r="D132" s="76" t="s">
        <v>360</v>
      </c>
      <c r="E132" s="76"/>
      <c r="F132" s="76" t="s">
        <v>360</v>
      </c>
      <c r="G132" s="76"/>
      <c r="H132" s="77"/>
      <c r="I132" s="76" t="s">
        <v>361</v>
      </c>
      <c r="J132" s="76"/>
      <c r="K132" s="76" t="s">
        <v>384</v>
      </c>
      <c r="L132" s="76" t="s">
        <v>401</v>
      </c>
      <c r="M132" s="76"/>
      <c r="N132" s="76" t="s">
        <v>939</v>
      </c>
      <c r="O132" s="76" t="s">
        <v>402</v>
      </c>
      <c r="P132" s="76" t="s">
        <v>387</v>
      </c>
      <c r="Q132" s="76"/>
      <c r="R132" s="76" t="s">
        <v>388</v>
      </c>
      <c r="S132" s="83">
        <v>1150000000</v>
      </c>
      <c r="T132" s="76"/>
      <c r="U132" s="80" t="s">
        <v>940</v>
      </c>
      <c r="V132" s="76"/>
      <c r="W132" s="80"/>
      <c r="X132" s="80"/>
      <c r="Y132" s="80" t="s">
        <v>941</v>
      </c>
      <c r="Z132" s="82">
        <v>0.03</v>
      </c>
      <c r="AA132" s="80" t="s">
        <v>942</v>
      </c>
      <c r="AB132" s="80" t="s">
        <v>943</v>
      </c>
      <c r="AC132" s="80" t="s">
        <v>944</v>
      </c>
      <c r="AD132" s="81"/>
    </row>
    <row r="133" spans="1:30" ht="409.6" x14ac:dyDescent="0.3">
      <c r="A133" s="76"/>
      <c r="B133" s="76"/>
      <c r="C133" s="76"/>
      <c r="D133" s="76" t="s">
        <v>360</v>
      </c>
      <c r="E133" s="76"/>
      <c r="F133" s="76" t="s">
        <v>360</v>
      </c>
      <c r="G133" s="76"/>
      <c r="H133" s="77"/>
      <c r="I133" s="76" t="s">
        <v>361</v>
      </c>
      <c r="J133" s="76"/>
      <c r="K133" s="76" t="s">
        <v>384</v>
      </c>
      <c r="L133" s="76" t="s">
        <v>401</v>
      </c>
      <c r="M133" s="76"/>
      <c r="N133" s="76" t="s">
        <v>945</v>
      </c>
      <c r="O133" s="76" t="s">
        <v>402</v>
      </c>
      <c r="P133" s="76" t="s">
        <v>387</v>
      </c>
      <c r="Q133" s="76"/>
      <c r="R133" s="76" t="s">
        <v>388</v>
      </c>
      <c r="S133" s="83">
        <v>100000000</v>
      </c>
      <c r="T133" s="76" t="s">
        <v>946</v>
      </c>
      <c r="U133" s="80" t="s">
        <v>947</v>
      </c>
      <c r="V133" s="76" t="s">
        <v>371</v>
      </c>
      <c r="W133" s="80" t="s">
        <v>549</v>
      </c>
      <c r="X133" s="80" t="s">
        <v>408</v>
      </c>
      <c r="Y133" s="80" t="s">
        <v>948</v>
      </c>
      <c r="Z133" s="82">
        <v>0.03</v>
      </c>
      <c r="AA133" s="80" t="s">
        <v>374</v>
      </c>
      <c r="AB133" s="80" t="s">
        <v>949</v>
      </c>
      <c r="AC133" s="80" t="s">
        <v>950</v>
      </c>
      <c r="AD133" s="81"/>
    </row>
    <row r="134" spans="1:30" ht="409.6" x14ac:dyDescent="0.3">
      <c r="A134" s="76"/>
      <c r="B134" s="76"/>
      <c r="C134" s="76"/>
      <c r="D134" s="76" t="s">
        <v>360</v>
      </c>
      <c r="E134" s="76"/>
      <c r="F134" s="76"/>
      <c r="G134" s="76"/>
      <c r="H134" s="77"/>
      <c r="I134" s="76" t="s">
        <v>361</v>
      </c>
      <c r="J134" s="76"/>
      <c r="K134" s="76" t="s">
        <v>384</v>
      </c>
      <c r="L134" s="76" t="s">
        <v>401</v>
      </c>
      <c r="M134" s="76"/>
      <c r="N134" s="76" t="s">
        <v>951</v>
      </c>
      <c r="O134" s="76" t="s">
        <v>402</v>
      </c>
      <c r="P134" s="76" t="s">
        <v>952</v>
      </c>
      <c r="Q134" s="76"/>
      <c r="R134" s="76" t="s">
        <v>388</v>
      </c>
      <c r="S134" s="83">
        <v>3200000000</v>
      </c>
      <c r="T134" s="76"/>
      <c r="U134" s="80" t="s">
        <v>953</v>
      </c>
      <c r="V134" s="76"/>
      <c r="W134" s="80"/>
      <c r="X134" s="80"/>
      <c r="Y134" s="80" t="s">
        <v>954</v>
      </c>
      <c r="Z134" s="82">
        <v>0.03</v>
      </c>
      <c r="AA134" s="80"/>
      <c r="AB134" s="80"/>
      <c r="AC134" s="80"/>
      <c r="AD134" s="81"/>
    </row>
    <row r="135" spans="1:30" ht="109.2" x14ac:dyDescent="0.3">
      <c r="A135" s="76"/>
      <c r="B135" s="76"/>
      <c r="C135" s="76"/>
      <c r="D135" s="76" t="s">
        <v>360</v>
      </c>
      <c r="E135" s="76"/>
      <c r="F135" s="76"/>
      <c r="G135" s="76"/>
      <c r="H135" s="77"/>
      <c r="I135" s="76" t="s">
        <v>361</v>
      </c>
      <c r="J135" s="76"/>
      <c r="K135" s="76" t="s">
        <v>384</v>
      </c>
      <c r="L135" s="76" t="s">
        <v>401</v>
      </c>
      <c r="M135" s="76"/>
      <c r="N135" s="76">
        <v>40901</v>
      </c>
      <c r="O135" s="76" t="s">
        <v>402</v>
      </c>
      <c r="P135" s="76" t="s">
        <v>952</v>
      </c>
      <c r="Q135" s="76"/>
      <c r="R135" s="76" t="s">
        <v>388</v>
      </c>
      <c r="S135" s="83">
        <v>1000000000</v>
      </c>
      <c r="T135" s="76"/>
      <c r="U135" s="80" t="s">
        <v>955</v>
      </c>
      <c r="V135" s="76"/>
      <c r="W135" s="80"/>
      <c r="X135" s="80"/>
      <c r="Y135" s="80"/>
      <c r="Z135" s="82">
        <v>0.03</v>
      </c>
      <c r="AA135" s="80"/>
      <c r="AB135" s="80"/>
      <c r="AC135" s="80"/>
      <c r="AD135" s="81"/>
    </row>
    <row r="136" spans="1:30" ht="409.6" x14ac:dyDescent="0.3">
      <c r="A136" s="76"/>
      <c r="B136" s="76"/>
      <c r="C136" s="76"/>
      <c r="D136" s="76" t="s">
        <v>360</v>
      </c>
      <c r="E136" s="76"/>
      <c r="F136" s="76"/>
      <c r="G136" s="76"/>
      <c r="H136" s="77"/>
      <c r="I136" s="76" t="s">
        <v>361</v>
      </c>
      <c r="J136" s="76"/>
      <c r="K136" s="76" t="s">
        <v>384</v>
      </c>
      <c r="L136" s="76" t="s">
        <v>401</v>
      </c>
      <c r="M136" s="76"/>
      <c r="N136" s="76" t="s">
        <v>956</v>
      </c>
      <c r="O136" s="76" t="s">
        <v>402</v>
      </c>
      <c r="P136" s="76" t="s">
        <v>952</v>
      </c>
      <c r="Q136" s="76"/>
      <c r="R136" s="76" t="s">
        <v>388</v>
      </c>
      <c r="S136" s="83">
        <v>1000000000</v>
      </c>
      <c r="T136" s="76" t="s">
        <v>957</v>
      </c>
      <c r="U136" s="80" t="s">
        <v>958</v>
      </c>
      <c r="V136" s="76"/>
      <c r="W136" s="80"/>
      <c r="X136" s="80"/>
      <c r="Y136" s="80" t="s">
        <v>959</v>
      </c>
      <c r="Z136" s="82">
        <v>0.03</v>
      </c>
      <c r="AA136" s="80" t="s">
        <v>374</v>
      </c>
      <c r="AB136" s="80" t="s">
        <v>960</v>
      </c>
      <c r="AC136" s="80" t="s">
        <v>961</v>
      </c>
      <c r="AD136" s="81"/>
    </row>
    <row r="137" spans="1:30" ht="202.8" x14ac:dyDescent="0.3">
      <c r="A137" s="76"/>
      <c r="B137" s="76"/>
      <c r="C137" s="76"/>
      <c r="D137" s="76" t="s">
        <v>360</v>
      </c>
      <c r="E137" s="76"/>
      <c r="F137" s="76"/>
      <c r="G137" s="76"/>
      <c r="H137" s="77"/>
      <c r="I137" s="76" t="s">
        <v>361</v>
      </c>
      <c r="J137" s="76"/>
      <c r="K137" s="76" t="s">
        <v>384</v>
      </c>
      <c r="L137" s="76" t="s">
        <v>401</v>
      </c>
      <c r="M137" s="76"/>
      <c r="N137" s="76">
        <v>40901</v>
      </c>
      <c r="O137" s="76" t="s">
        <v>402</v>
      </c>
      <c r="P137" s="76" t="s">
        <v>952</v>
      </c>
      <c r="Q137" s="76"/>
      <c r="R137" s="76" t="s">
        <v>388</v>
      </c>
      <c r="S137" s="83">
        <v>250000000</v>
      </c>
      <c r="T137" s="76"/>
      <c r="U137" s="80" t="s">
        <v>962</v>
      </c>
      <c r="V137" s="76"/>
      <c r="W137" s="80"/>
      <c r="X137" s="80"/>
      <c r="Y137" s="80"/>
      <c r="Z137" s="82">
        <v>0.03</v>
      </c>
      <c r="AA137" s="80"/>
      <c r="AB137" s="80"/>
      <c r="AC137" s="80"/>
      <c r="AD137" s="81"/>
    </row>
    <row r="138" spans="1:30" ht="46.8" x14ac:dyDescent="0.3">
      <c r="A138" s="76"/>
      <c r="B138" s="76"/>
      <c r="C138" s="76"/>
      <c r="D138" s="76" t="s">
        <v>360</v>
      </c>
      <c r="E138" s="76"/>
      <c r="F138" s="76"/>
      <c r="G138" s="76"/>
      <c r="H138" s="77"/>
      <c r="I138" s="76" t="s">
        <v>361</v>
      </c>
      <c r="J138" s="76"/>
      <c r="K138" s="76" t="s">
        <v>384</v>
      </c>
      <c r="L138" s="76" t="s">
        <v>401</v>
      </c>
      <c r="M138" s="76"/>
      <c r="N138" s="76">
        <v>40901</v>
      </c>
      <c r="O138" s="76" t="s">
        <v>402</v>
      </c>
      <c r="P138" s="76" t="s">
        <v>952</v>
      </c>
      <c r="Q138" s="76" t="s">
        <v>963</v>
      </c>
      <c r="R138" s="76" t="s">
        <v>388</v>
      </c>
      <c r="S138" s="83">
        <v>500000000</v>
      </c>
      <c r="T138" s="76"/>
      <c r="U138" s="80" t="s">
        <v>964</v>
      </c>
      <c r="V138" s="76"/>
      <c r="W138" s="80"/>
      <c r="X138" s="80"/>
      <c r="Y138" s="80"/>
      <c r="Z138" s="82">
        <v>0.03</v>
      </c>
      <c r="AA138" s="80"/>
      <c r="AB138" s="80"/>
      <c r="AC138" s="80"/>
      <c r="AD138" s="81"/>
    </row>
    <row r="139" spans="1:30" ht="409.6" x14ac:dyDescent="0.3">
      <c r="A139" s="76"/>
      <c r="B139" s="76"/>
      <c r="C139" s="76"/>
      <c r="D139" s="76" t="s">
        <v>360</v>
      </c>
      <c r="E139" s="76"/>
      <c r="F139" s="76"/>
      <c r="G139" s="76"/>
      <c r="H139" s="77"/>
      <c r="I139" s="76" t="s">
        <v>361</v>
      </c>
      <c r="J139" s="76"/>
      <c r="K139" s="76" t="s">
        <v>384</v>
      </c>
      <c r="L139" s="76" t="s">
        <v>401</v>
      </c>
      <c r="M139" s="76"/>
      <c r="N139" s="76" t="s">
        <v>965</v>
      </c>
      <c r="O139" s="76" t="s">
        <v>402</v>
      </c>
      <c r="P139" s="76" t="s">
        <v>335</v>
      </c>
      <c r="Q139" s="76"/>
      <c r="R139" s="76" t="s">
        <v>388</v>
      </c>
      <c r="S139" s="83">
        <v>300000000</v>
      </c>
      <c r="T139" s="76"/>
      <c r="U139" s="80" t="s">
        <v>966</v>
      </c>
      <c r="V139" s="76"/>
      <c r="W139" s="80"/>
      <c r="X139" s="80"/>
      <c r="Y139" s="80"/>
      <c r="Z139" s="82">
        <v>0.03</v>
      </c>
      <c r="AA139" s="80"/>
      <c r="AB139" s="80"/>
      <c r="AC139" s="80" t="s">
        <v>967</v>
      </c>
      <c r="AD139" s="81"/>
    </row>
    <row r="140" spans="1:30" ht="78" x14ac:dyDescent="0.3">
      <c r="A140" s="76"/>
      <c r="B140" s="76"/>
      <c r="C140" s="76"/>
      <c r="D140" s="76" t="s">
        <v>360</v>
      </c>
      <c r="E140" s="76"/>
      <c r="F140" s="76" t="s">
        <v>360</v>
      </c>
      <c r="G140" s="76"/>
      <c r="H140" s="77"/>
      <c r="I140" s="76" t="s">
        <v>361</v>
      </c>
      <c r="J140" s="76"/>
      <c r="K140" s="76" t="s">
        <v>384</v>
      </c>
      <c r="L140" s="76" t="s">
        <v>401</v>
      </c>
      <c r="M140" s="76"/>
      <c r="N140" s="76">
        <v>40901</v>
      </c>
      <c r="O140" s="76" t="s">
        <v>402</v>
      </c>
      <c r="P140" s="76" t="s">
        <v>387</v>
      </c>
      <c r="Q140" s="76"/>
      <c r="R140" s="76" t="s">
        <v>388</v>
      </c>
      <c r="S140" s="83">
        <v>50000000</v>
      </c>
      <c r="T140" s="76"/>
      <c r="U140" s="80" t="s">
        <v>968</v>
      </c>
      <c r="V140" s="76"/>
      <c r="W140" s="80"/>
      <c r="X140" s="80"/>
      <c r="Y140" s="80"/>
      <c r="Z140" s="82">
        <v>0.03</v>
      </c>
      <c r="AA140" s="80"/>
      <c r="AB140" s="80"/>
      <c r="AC140" s="80"/>
      <c r="AD140" s="81"/>
    </row>
    <row r="141" spans="1:30" ht="409.6" x14ac:dyDescent="0.3">
      <c r="A141" s="85"/>
      <c r="B141" s="85"/>
      <c r="C141" s="85"/>
      <c r="D141" s="85" t="s">
        <v>360</v>
      </c>
      <c r="E141" s="85"/>
      <c r="F141" s="85"/>
      <c r="G141" s="85"/>
      <c r="H141" s="86"/>
      <c r="I141" s="85" t="s">
        <v>361</v>
      </c>
      <c r="J141" s="85"/>
      <c r="K141" s="85" t="s">
        <v>384</v>
      </c>
      <c r="L141" s="85" t="s">
        <v>401</v>
      </c>
      <c r="M141" s="85"/>
      <c r="N141" s="85">
        <v>40910</v>
      </c>
      <c r="O141" s="85" t="s">
        <v>402</v>
      </c>
      <c r="P141" s="85" t="s">
        <v>952</v>
      </c>
      <c r="Q141" s="85"/>
      <c r="R141" s="85"/>
      <c r="S141" s="85" t="s">
        <v>426</v>
      </c>
      <c r="T141" s="85"/>
      <c r="U141" s="80" t="s">
        <v>969</v>
      </c>
      <c r="V141" s="85"/>
      <c r="W141" s="89"/>
      <c r="X141" s="89"/>
      <c r="Y141" s="89"/>
      <c r="Z141" s="89"/>
      <c r="AA141" s="89" t="s">
        <v>942</v>
      </c>
      <c r="AB141" s="89" t="s">
        <v>970</v>
      </c>
      <c r="AC141" s="80" t="s">
        <v>971</v>
      </c>
      <c r="AD141" s="81"/>
    </row>
    <row r="142" spans="1:30" ht="249.6" x14ac:dyDescent="0.3">
      <c r="A142" s="76"/>
      <c r="B142" s="76" t="s">
        <v>360</v>
      </c>
      <c r="C142" s="76"/>
      <c r="D142" s="76"/>
      <c r="E142" s="76"/>
      <c r="F142" s="76"/>
      <c r="G142" s="76"/>
      <c r="H142" s="77"/>
      <c r="I142" s="76" t="s">
        <v>361</v>
      </c>
      <c r="J142" s="76"/>
      <c r="K142" s="76" t="s">
        <v>384</v>
      </c>
      <c r="L142" s="76" t="s">
        <v>972</v>
      </c>
      <c r="M142" s="76"/>
      <c r="N142" s="76" t="s">
        <v>973</v>
      </c>
      <c r="O142" s="76"/>
      <c r="P142" s="76" t="s">
        <v>333</v>
      </c>
      <c r="Q142" s="76" t="s">
        <v>974</v>
      </c>
      <c r="R142" s="76" t="s">
        <v>975</v>
      </c>
      <c r="S142" s="83">
        <f>SUM(355000000, 150000000)</f>
        <v>505000000</v>
      </c>
      <c r="T142" s="76"/>
      <c r="U142" s="80" t="s">
        <v>976</v>
      </c>
      <c r="V142" s="76" t="s">
        <v>428</v>
      </c>
      <c r="W142" s="80"/>
      <c r="X142" s="80" t="s">
        <v>408</v>
      </c>
      <c r="Y142" s="80" t="s">
        <v>977</v>
      </c>
      <c r="Z142" s="80"/>
      <c r="AA142" s="80"/>
      <c r="AB142" s="80"/>
      <c r="AC142" s="80"/>
      <c r="AD142" s="81"/>
    </row>
    <row r="143" spans="1:30" ht="280.8" x14ac:dyDescent="0.3">
      <c r="A143" s="76"/>
      <c r="B143" s="76" t="s">
        <v>360</v>
      </c>
      <c r="C143" s="76"/>
      <c r="D143" s="76"/>
      <c r="E143" s="76"/>
      <c r="F143" s="76"/>
      <c r="G143" s="76"/>
      <c r="H143" s="77"/>
      <c r="I143" s="76" t="s">
        <v>361</v>
      </c>
      <c r="J143" s="76"/>
      <c r="K143" s="76" t="s">
        <v>384</v>
      </c>
      <c r="L143" s="76" t="s">
        <v>972</v>
      </c>
      <c r="M143" s="76"/>
      <c r="N143" s="76" t="s">
        <v>978</v>
      </c>
      <c r="O143" s="76"/>
      <c r="P143" s="76" t="s">
        <v>333</v>
      </c>
      <c r="Q143" s="76" t="s">
        <v>979</v>
      </c>
      <c r="R143" s="76" t="s">
        <v>980</v>
      </c>
      <c r="S143" s="91">
        <f>SUM(511000000, 506000000, 636000000, 824000000, 453000000, 281000000)</f>
        <v>3211000000</v>
      </c>
      <c r="T143" s="76"/>
      <c r="U143" s="80" t="s">
        <v>981</v>
      </c>
      <c r="V143" s="76" t="s">
        <v>428</v>
      </c>
      <c r="W143" s="80"/>
      <c r="X143" s="80"/>
      <c r="Y143" s="80"/>
      <c r="Z143" s="80"/>
      <c r="AA143" s="80"/>
      <c r="AB143" s="80"/>
      <c r="AC143" s="80"/>
      <c r="AD143" s="81"/>
    </row>
    <row r="144" spans="1:30" ht="249.6" x14ac:dyDescent="0.3">
      <c r="A144" s="76"/>
      <c r="B144" s="76" t="s">
        <v>360</v>
      </c>
      <c r="C144" s="76"/>
      <c r="D144" s="76"/>
      <c r="E144" s="76"/>
      <c r="F144" s="76"/>
      <c r="G144" s="76"/>
      <c r="H144" s="77"/>
      <c r="I144" s="76" t="s">
        <v>361</v>
      </c>
      <c r="J144" s="76"/>
      <c r="K144" s="76" t="s">
        <v>384</v>
      </c>
      <c r="L144" s="76" t="s">
        <v>972</v>
      </c>
      <c r="M144" s="76"/>
      <c r="N144" s="76" t="s">
        <v>982</v>
      </c>
      <c r="O144" s="76"/>
      <c r="P144" s="76" t="s">
        <v>333</v>
      </c>
      <c r="Q144" s="76"/>
      <c r="R144" s="76" t="s">
        <v>975</v>
      </c>
      <c r="S144" s="91">
        <f>SUM(36000000, 70400000, 40000000)</f>
        <v>146400000</v>
      </c>
      <c r="T144" s="76"/>
      <c r="U144" s="80" t="s">
        <v>983</v>
      </c>
      <c r="V144" s="76" t="s">
        <v>428</v>
      </c>
      <c r="W144" s="80"/>
      <c r="X144" s="80"/>
      <c r="Y144" s="80"/>
      <c r="Z144" s="80"/>
      <c r="AA144" s="80"/>
      <c r="AB144" s="80"/>
      <c r="AC144" s="80"/>
      <c r="AD144" s="81"/>
    </row>
    <row r="145" spans="1:30" ht="409.6" x14ac:dyDescent="0.3">
      <c r="A145" s="76"/>
      <c r="B145" s="76" t="s">
        <v>360</v>
      </c>
      <c r="C145" s="76"/>
      <c r="D145" s="76"/>
      <c r="E145" s="76"/>
      <c r="F145" s="76"/>
      <c r="G145" s="76" t="s">
        <v>360</v>
      </c>
      <c r="H145" s="77"/>
      <c r="I145" s="76" t="s">
        <v>361</v>
      </c>
      <c r="J145" s="76"/>
      <c r="K145" s="76" t="s">
        <v>384</v>
      </c>
      <c r="L145" s="76" t="s">
        <v>972</v>
      </c>
      <c r="M145" s="76"/>
      <c r="N145" s="76" t="s">
        <v>984</v>
      </c>
      <c r="O145" s="76"/>
      <c r="P145" s="76" t="s">
        <v>985</v>
      </c>
      <c r="Q145" s="76"/>
      <c r="R145" s="76" t="s">
        <v>975</v>
      </c>
      <c r="S145" s="91">
        <f>SUM(84000000, 100000000, 80000000)</f>
        <v>264000000</v>
      </c>
      <c r="T145" s="76"/>
      <c r="U145" s="80" t="s">
        <v>986</v>
      </c>
      <c r="V145" s="76" t="s">
        <v>428</v>
      </c>
      <c r="W145" s="80"/>
      <c r="X145" s="80"/>
      <c r="Y145" s="80"/>
      <c r="Z145" s="80"/>
      <c r="AA145" s="80"/>
      <c r="AB145" s="80"/>
      <c r="AC145" s="80"/>
      <c r="AD145" s="81"/>
    </row>
    <row r="146" spans="1:30" ht="409.6" x14ac:dyDescent="0.3">
      <c r="A146" s="76"/>
      <c r="B146" s="76"/>
      <c r="C146" s="76"/>
      <c r="D146" s="76"/>
      <c r="E146" s="76"/>
      <c r="F146" s="76"/>
      <c r="G146" s="76"/>
      <c r="H146" s="77" t="s">
        <v>360</v>
      </c>
      <c r="I146" s="76" t="s">
        <v>361</v>
      </c>
      <c r="J146" s="76"/>
      <c r="K146" s="76" t="s">
        <v>442</v>
      </c>
      <c r="L146" s="76" t="s">
        <v>987</v>
      </c>
      <c r="M146" s="76"/>
      <c r="N146" s="76" t="s">
        <v>988</v>
      </c>
      <c r="O146" s="76" t="s">
        <v>416</v>
      </c>
      <c r="P146" s="76" t="s">
        <v>989</v>
      </c>
      <c r="Q146" s="76"/>
      <c r="R146" s="76" t="s">
        <v>388</v>
      </c>
      <c r="S146" s="91">
        <f>SUM(35000000, 35000000, 35000000, 35000000, 35000000, 15000000, 15000000, 15000000, 15000000, 15000000)</f>
        <v>250000000</v>
      </c>
      <c r="T146" s="76"/>
      <c r="U146" s="80" t="s">
        <v>990</v>
      </c>
      <c r="V146" s="76"/>
      <c r="W146" s="80"/>
      <c r="X146" s="80" t="s">
        <v>408</v>
      </c>
      <c r="Y146" s="80" t="s">
        <v>991</v>
      </c>
      <c r="Z146" s="80"/>
      <c r="AA146" s="80"/>
      <c r="AB146" s="80"/>
      <c r="AC146" s="80"/>
      <c r="AD146" s="81"/>
    </row>
    <row r="147" spans="1:30" ht="409.6" x14ac:dyDescent="0.3">
      <c r="A147" s="76"/>
      <c r="B147" s="76"/>
      <c r="C147" s="76"/>
      <c r="D147" s="76"/>
      <c r="E147" s="76"/>
      <c r="F147" s="76"/>
      <c r="G147" s="76"/>
      <c r="H147" s="77" t="s">
        <v>360</v>
      </c>
      <c r="I147" s="76" t="s">
        <v>361</v>
      </c>
      <c r="J147" s="76"/>
      <c r="K147" s="76" t="s">
        <v>442</v>
      </c>
      <c r="L147" s="76" t="s">
        <v>987</v>
      </c>
      <c r="M147" s="76"/>
      <c r="N147" s="76" t="s">
        <v>992</v>
      </c>
      <c r="O147" s="76" t="s">
        <v>416</v>
      </c>
      <c r="P147" s="76" t="s">
        <v>989</v>
      </c>
      <c r="Q147" s="76" t="s">
        <v>993</v>
      </c>
      <c r="R147" s="76" t="s">
        <v>388</v>
      </c>
      <c r="S147" s="91">
        <f>SUM(2400000000, 2750000000, 3000000000, 3250000000, 325000000)</f>
        <v>11725000000</v>
      </c>
      <c r="T147" s="79">
        <v>47026</v>
      </c>
      <c r="U147" s="80" t="s">
        <v>994</v>
      </c>
      <c r="V147" s="76"/>
      <c r="W147" s="80"/>
      <c r="X147" s="80" t="s">
        <v>380</v>
      </c>
      <c r="Y147" s="80"/>
      <c r="Z147" s="80"/>
      <c r="AA147" s="80"/>
      <c r="AB147" s="80"/>
      <c r="AC147" s="80"/>
      <c r="AD147" s="81"/>
    </row>
    <row r="148" spans="1:30" ht="409.6" x14ac:dyDescent="0.3">
      <c r="A148" s="76"/>
      <c r="B148" s="76"/>
      <c r="C148" s="76"/>
      <c r="D148" s="76" t="s">
        <v>360</v>
      </c>
      <c r="E148" s="76"/>
      <c r="F148" s="76"/>
      <c r="G148" s="76"/>
      <c r="H148" s="77" t="s">
        <v>360</v>
      </c>
      <c r="I148" s="76" t="s">
        <v>361</v>
      </c>
      <c r="J148" s="76"/>
      <c r="K148" s="76" t="s">
        <v>442</v>
      </c>
      <c r="L148" s="76" t="s">
        <v>987</v>
      </c>
      <c r="M148" s="76"/>
      <c r="N148" s="76" t="s">
        <v>995</v>
      </c>
      <c r="O148" s="76" t="s">
        <v>416</v>
      </c>
      <c r="P148" s="76" t="s">
        <v>996</v>
      </c>
      <c r="Q148" s="76" t="s">
        <v>997</v>
      </c>
      <c r="R148" s="76" t="s">
        <v>388</v>
      </c>
      <c r="S148" s="91">
        <f>SUM(70000000, 80000000, 100000000, 120000000, 140000000, 25000000, 25000000, 25000000, 25000000, 25000000, 100000000, 250000000)</f>
        <v>985000000</v>
      </c>
      <c r="T148" s="76"/>
      <c r="U148" s="80" t="s">
        <v>998</v>
      </c>
      <c r="V148" s="76"/>
      <c r="W148" s="80"/>
      <c r="X148" s="80" t="s">
        <v>408</v>
      </c>
      <c r="Y148" s="80" t="s">
        <v>999</v>
      </c>
      <c r="Z148" s="80"/>
      <c r="AA148" s="80" t="s">
        <v>1000</v>
      </c>
      <c r="AB148" s="80" t="s">
        <v>1001</v>
      </c>
      <c r="AC148" s="80"/>
      <c r="AD148" s="81"/>
    </row>
    <row r="149" spans="1:30" ht="409.6" x14ac:dyDescent="0.3">
      <c r="A149" s="76"/>
      <c r="B149" s="76"/>
      <c r="C149" s="76"/>
      <c r="D149" s="76"/>
      <c r="E149" s="76"/>
      <c r="F149" s="76"/>
      <c r="G149" s="76"/>
      <c r="H149" s="77" t="s">
        <v>360</v>
      </c>
      <c r="I149" s="76" t="s">
        <v>361</v>
      </c>
      <c r="J149" s="76" t="s">
        <v>362</v>
      </c>
      <c r="K149" s="76" t="s">
        <v>442</v>
      </c>
      <c r="L149" s="76" t="s">
        <v>987</v>
      </c>
      <c r="M149" s="76"/>
      <c r="N149" s="76" t="s">
        <v>1002</v>
      </c>
      <c r="O149" s="76" t="s">
        <v>416</v>
      </c>
      <c r="P149" s="76" t="s">
        <v>989</v>
      </c>
      <c r="Q149" s="76" t="s">
        <v>1003</v>
      </c>
      <c r="R149" s="76" t="s">
        <v>388</v>
      </c>
      <c r="S149" s="91">
        <f>SUM(500000000, 10000000)</f>
        <v>510000000</v>
      </c>
      <c r="T149" s="76"/>
      <c r="U149" s="80" t="s">
        <v>1004</v>
      </c>
      <c r="V149" s="76"/>
      <c r="W149" s="80"/>
      <c r="X149" s="80" t="s">
        <v>408</v>
      </c>
      <c r="Y149" s="80" t="s">
        <v>1005</v>
      </c>
      <c r="Z149" s="82">
        <v>0.04</v>
      </c>
      <c r="AA149" s="82"/>
      <c r="AB149" s="80"/>
      <c r="AC149" s="80"/>
      <c r="AD149" s="81"/>
    </row>
    <row r="150" spans="1:30" ht="409.6" x14ac:dyDescent="0.3">
      <c r="A150" s="76"/>
      <c r="B150" s="76"/>
      <c r="C150" s="76"/>
      <c r="D150" s="76" t="s">
        <v>360</v>
      </c>
      <c r="E150" s="76"/>
      <c r="F150" s="76"/>
      <c r="G150" s="76"/>
      <c r="H150" s="77"/>
      <c r="I150" s="76" t="s">
        <v>361</v>
      </c>
      <c r="J150" s="76"/>
      <c r="K150" s="76" t="s">
        <v>442</v>
      </c>
      <c r="L150" s="76" t="s">
        <v>987</v>
      </c>
      <c r="M150" s="76"/>
      <c r="N150" s="76" t="s">
        <v>1006</v>
      </c>
      <c r="O150" s="76" t="s">
        <v>416</v>
      </c>
      <c r="P150" s="76" t="s">
        <v>335</v>
      </c>
      <c r="Q150" s="76"/>
      <c r="R150" s="76" t="s">
        <v>388</v>
      </c>
      <c r="S150" s="83">
        <v>250000000</v>
      </c>
      <c r="T150" s="76"/>
      <c r="U150" s="80" t="s">
        <v>1007</v>
      </c>
      <c r="V150" s="76" t="s">
        <v>371</v>
      </c>
      <c r="W150" s="80" t="s">
        <v>1008</v>
      </c>
      <c r="X150" s="80" t="s">
        <v>408</v>
      </c>
      <c r="Y150" s="80" t="s">
        <v>1009</v>
      </c>
      <c r="Z150" s="80"/>
      <c r="AA150" s="80" t="s">
        <v>1000</v>
      </c>
      <c r="AB150" s="80" t="s">
        <v>1010</v>
      </c>
      <c r="AC150" s="80" t="s">
        <v>1011</v>
      </c>
      <c r="AD150" s="81"/>
    </row>
    <row r="151" spans="1:30" ht="409.6" x14ac:dyDescent="0.3">
      <c r="A151" s="76"/>
      <c r="B151" s="76"/>
      <c r="C151" s="76"/>
      <c r="D151" s="76" t="s">
        <v>360</v>
      </c>
      <c r="E151" s="76"/>
      <c r="F151" s="76"/>
      <c r="G151" s="76"/>
      <c r="H151" s="77"/>
      <c r="I151" s="76" t="s">
        <v>361</v>
      </c>
      <c r="J151" s="76"/>
      <c r="K151" s="76" t="s">
        <v>442</v>
      </c>
      <c r="L151" s="76" t="s">
        <v>987</v>
      </c>
      <c r="M151" s="76"/>
      <c r="N151" s="76" t="s">
        <v>1012</v>
      </c>
      <c r="O151" s="76" t="s">
        <v>416</v>
      </c>
      <c r="P151" s="76" t="s">
        <v>335</v>
      </c>
      <c r="Q151" s="76" t="s">
        <v>1013</v>
      </c>
      <c r="R151" s="76" t="s">
        <v>388</v>
      </c>
      <c r="S151" s="83">
        <v>250000000</v>
      </c>
      <c r="T151" s="76"/>
      <c r="U151" s="80" t="s">
        <v>1014</v>
      </c>
      <c r="V151" s="76" t="s">
        <v>1015</v>
      </c>
      <c r="W151" s="80" t="s">
        <v>1008</v>
      </c>
      <c r="X151" s="80" t="s">
        <v>1016</v>
      </c>
      <c r="Y151" s="80" t="s">
        <v>1017</v>
      </c>
      <c r="Z151" s="82">
        <v>0.02</v>
      </c>
      <c r="AA151" s="80"/>
      <c r="AB151" s="80"/>
      <c r="AC151" s="80" t="s">
        <v>1018</v>
      </c>
      <c r="AD151" s="81"/>
    </row>
    <row r="152" spans="1:30" ht="358.8" x14ac:dyDescent="0.3">
      <c r="A152" s="76"/>
      <c r="B152" s="76"/>
      <c r="C152" s="76"/>
      <c r="D152" s="76" t="s">
        <v>360</v>
      </c>
      <c r="E152" s="76"/>
      <c r="F152" s="76"/>
      <c r="G152" s="76"/>
      <c r="H152" s="77"/>
      <c r="I152" s="76" t="s">
        <v>361</v>
      </c>
      <c r="J152" s="76"/>
      <c r="K152" s="76" t="s">
        <v>442</v>
      </c>
      <c r="L152" s="76" t="s">
        <v>987</v>
      </c>
      <c r="M152" s="76"/>
      <c r="N152" s="76" t="s">
        <v>1019</v>
      </c>
      <c r="O152" s="76" t="s">
        <v>416</v>
      </c>
      <c r="P152" s="76" t="s">
        <v>335</v>
      </c>
      <c r="Q152" s="76"/>
      <c r="R152" s="76" t="s">
        <v>930</v>
      </c>
      <c r="S152" s="76" t="s">
        <v>1020</v>
      </c>
      <c r="T152" s="76" t="s">
        <v>930</v>
      </c>
      <c r="U152" s="80" t="s">
        <v>1021</v>
      </c>
      <c r="V152" s="76"/>
      <c r="W152" s="80" t="s">
        <v>1022</v>
      </c>
      <c r="X152" s="80"/>
      <c r="Y152" s="80"/>
      <c r="Z152" s="80"/>
      <c r="AA152" s="80"/>
      <c r="AB152" s="80"/>
      <c r="AC152" s="80"/>
      <c r="AD152" s="81"/>
    </row>
    <row r="153" spans="1:30" ht="409.6" x14ac:dyDescent="0.3">
      <c r="A153" s="76"/>
      <c r="B153" s="76"/>
      <c r="C153" s="76"/>
      <c r="D153" s="76" t="s">
        <v>360</v>
      </c>
      <c r="E153" s="76"/>
      <c r="F153" s="76"/>
      <c r="G153" s="76"/>
      <c r="H153" s="77"/>
      <c r="I153" s="76" t="s">
        <v>361</v>
      </c>
      <c r="J153" s="76"/>
      <c r="K153" s="76" t="s">
        <v>442</v>
      </c>
      <c r="L153" s="76" t="s">
        <v>987</v>
      </c>
      <c r="M153" s="76"/>
      <c r="N153" s="76" t="s">
        <v>1023</v>
      </c>
      <c r="O153" s="76" t="s">
        <v>416</v>
      </c>
      <c r="P153" s="76" t="s">
        <v>335</v>
      </c>
      <c r="Q153" s="76"/>
      <c r="R153" s="76"/>
      <c r="S153" s="76" t="s">
        <v>930</v>
      </c>
      <c r="T153" s="76"/>
      <c r="U153" s="80" t="s">
        <v>1024</v>
      </c>
      <c r="V153" s="76"/>
      <c r="W153" s="80" t="s">
        <v>1008</v>
      </c>
      <c r="X153" s="80" t="s">
        <v>1025</v>
      </c>
      <c r="Y153" s="80" t="s">
        <v>1026</v>
      </c>
      <c r="Z153" s="80"/>
      <c r="AA153" s="80"/>
      <c r="AB153" s="80"/>
      <c r="AC153" s="80" t="s">
        <v>1027</v>
      </c>
      <c r="AD153" s="81"/>
    </row>
    <row r="154" spans="1:30" ht="390" x14ac:dyDescent="0.3">
      <c r="A154" s="76"/>
      <c r="B154" s="76"/>
      <c r="C154" s="76"/>
      <c r="D154" s="76"/>
      <c r="E154" s="76"/>
      <c r="F154" s="76"/>
      <c r="G154" s="76"/>
      <c r="H154" s="77" t="s">
        <v>360</v>
      </c>
      <c r="I154" s="76" t="s">
        <v>361</v>
      </c>
      <c r="J154" s="76"/>
      <c r="K154" s="76" t="s">
        <v>442</v>
      </c>
      <c r="L154" s="76" t="s">
        <v>987</v>
      </c>
      <c r="M154" s="76"/>
      <c r="N154" s="76" t="s">
        <v>1028</v>
      </c>
      <c r="O154" s="76" t="s">
        <v>416</v>
      </c>
      <c r="P154" s="76" t="s">
        <v>989</v>
      </c>
      <c r="Q154" s="76" t="s">
        <v>1029</v>
      </c>
      <c r="R154" s="76" t="s">
        <v>388</v>
      </c>
      <c r="S154" s="91">
        <f>SUM(30000000, 35000000, 40000000, 45000000, 50000000)</f>
        <v>200000000</v>
      </c>
      <c r="T154" s="76"/>
      <c r="U154" s="80" t="s">
        <v>1030</v>
      </c>
      <c r="V154" s="76" t="s">
        <v>428</v>
      </c>
      <c r="W154" s="80" t="s">
        <v>1008</v>
      </c>
      <c r="X154" s="80" t="s">
        <v>1031</v>
      </c>
      <c r="Y154" s="80" t="s">
        <v>1032</v>
      </c>
      <c r="Z154" s="80"/>
      <c r="AA154" s="80"/>
      <c r="AB154" s="80"/>
      <c r="AC154" s="80"/>
      <c r="AD154" s="81"/>
    </row>
    <row r="155" spans="1:30" ht="409.6" x14ac:dyDescent="0.3">
      <c r="A155" s="76"/>
      <c r="B155" s="76"/>
      <c r="C155" s="76"/>
      <c r="D155" s="76" t="s">
        <v>360</v>
      </c>
      <c r="E155" s="76"/>
      <c r="F155" s="76"/>
      <c r="G155" s="76"/>
      <c r="H155" s="77" t="s">
        <v>360</v>
      </c>
      <c r="I155" s="76" t="s">
        <v>361</v>
      </c>
      <c r="J155" s="76"/>
      <c r="K155" s="76" t="s">
        <v>442</v>
      </c>
      <c r="L155" s="76" t="s">
        <v>987</v>
      </c>
      <c r="M155" s="76"/>
      <c r="N155" s="76" t="s">
        <v>1033</v>
      </c>
      <c r="O155" s="76" t="s">
        <v>416</v>
      </c>
      <c r="P155" s="76" t="s">
        <v>996</v>
      </c>
      <c r="Q155" s="76" t="s">
        <v>1034</v>
      </c>
      <c r="R155" s="76" t="s">
        <v>388</v>
      </c>
      <c r="S155" s="83">
        <v>50000000</v>
      </c>
      <c r="T155" s="76" t="s">
        <v>396</v>
      </c>
      <c r="U155" s="80" t="s">
        <v>1035</v>
      </c>
      <c r="V155" s="76" t="s">
        <v>1015</v>
      </c>
      <c r="W155" s="80" t="s">
        <v>407</v>
      </c>
      <c r="X155" s="80" t="s">
        <v>1036</v>
      </c>
      <c r="Y155" s="80" t="s">
        <v>1037</v>
      </c>
      <c r="Z155" s="82">
        <v>0.02</v>
      </c>
      <c r="AA155" s="80" t="s">
        <v>374</v>
      </c>
      <c r="AB155" s="80" t="s">
        <v>1038</v>
      </c>
      <c r="AC155" s="80" t="s">
        <v>1039</v>
      </c>
      <c r="AD155" s="81"/>
    </row>
    <row r="156" spans="1:30" ht="312" x14ac:dyDescent="0.3">
      <c r="A156" s="76"/>
      <c r="B156" s="76"/>
      <c r="C156" s="76"/>
      <c r="D156" s="76" t="s">
        <v>360</v>
      </c>
      <c r="E156" s="76"/>
      <c r="F156" s="76"/>
      <c r="G156" s="76"/>
      <c r="H156" s="77"/>
      <c r="I156" s="76" t="s">
        <v>361</v>
      </c>
      <c r="J156" s="76"/>
      <c r="K156" s="76" t="s">
        <v>442</v>
      </c>
      <c r="L156" s="76" t="s">
        <v>987</v>
      </c>
      <c r="M156" s="76"/>
      <c r="N156" s="76" t="s">
        <v>1040</v>
      </c>
      <c r="O156" s="76" t="s">
        <v>416</v>
      </c>
      <c r="P156" s="76" t="s">
        <v>335</v>
      </c>
      <c r="Q156" s="76"/>
      <c r="R156" s="76" t="s">
        <v>930</v>
      </c>
      <c r="S156" s="76" t="s">
        <v>1020</v>
      </c>
      <c r="T156" s="76" t="s">
        <v>930</v>
      </c>
      <c r="U156" s="80" t="s">
        <v>1041</v>
      </c>
      <c r="V156" s="76"/>
      <c r="W156" s="80" t="s">
        <v>1022</v>
      </c>
      <c r="X156" s="80"/>
      <c r="Y156" s="80"/>
      <c r="Z156" s="80"/>
      <c r="AA156" s="80"/>
      <c r="AB156" s="80"/>
      <c r="AC156" s="80"/>
      <c r="AD156" s="81"/>
    </row>
    <row r="157" spans="1:30" ht="409.6" x14ac:dyDescent="0.3">
      <c r="A157" s="76"/>
      <c r="B157" s="76"/>
      <c r="C157" s="76"/>
      <c r="D157" s="76"/>
      <c r="E157" s="76"/>
      <c r="F157" s="76"/>
      <c r="G157" s="76"/>
      <c r="H157" s="77" t="s">
        <v>457</v>
      </c>
      <c r="I157" s="76" t="s">
        <v>361</v>
      </c>
      <c r="J157" s="76"/>
      <c r="K157" s="76" t="s">
        <v>442</v>
      </c>
      <c r="L157" s="76" t="s">
        <v>443</v>
      </c>
      <c r="M157" s="76"/>
      <c r="N157" s="76" t="s">
        <v>1042</v>
      </c>
      <c r="O157" s="76" t="s">
        <v>416</v>
      </c>
      <c r="P157" s="76" t="s">
        <v>989</v>
      </c>
      <c r="Q157" s="76"/>
      <c r="R157" s="76" t="s">
        <v>388</v>
      </c>
      <c r="S157" s="91">
        <f>SUM(75000000, 75000000, 75000000, 75000000, 75000000)</f>
        <v>375000000</v>
      </c>
      <c r="T157" s="91"/>
      <c r="U157" s="80" t="s">
        <v>1043</v>
      </c>
      <c r="V157" s="76"/>
      <c r="W157" s="80"/>
      <c r="X157" s="80" t="s">
        <v>1044</v>
      </c>
      <c r="Y157" s="80" t="s">
        <v>1045</v>
      </c>
      <c r="Z157" s="80"/>
      <c r="AA157" s="80"/>
      <c r="AB157" s="80"/>
      <c r="AC157" s="80" t="s">
        <v>1046</v>
      </c>
      <c r="AD157" s="81"/>
    </row>
    <row r="158" spans="1:30" ht="409.6" x14ac:dyDescent="0.3">
      <c r="A158" s="76" t="s">
        <v>360</v>
      </c>
      <c r="B158" s="76" t="s">
        <v>360</v>
      </c>
      <c r="C158" s="76"/>
      <c r="D158" s="76"/>
      <c r="E158" s="76"/>
      <c r="F158" s="76"/>
      <c r="G158" s="76"/>
      <c r="H158" s="77"/>
      <c r="I158" s="76" t="s">
        <v>361</v>
      </c>
      <c r="J158" s="76"/>
      <c r="K158" s="76" t="s">
        <v>442</v>
      </c>
      <c r="L158" s="76" t="s">
        <v>443</v>
      </c>
      <c r="M158" s="76"/>
      <c r="N158" s="76" t="s">
        <v>1047</v>
      </c>
      <c r="O158" s="76" t="s">
        <v>416</v>
      </c>
      <c r="P158" s="76" t="s">
        <v>1048</v>
      </c>
      <c r="Q158" s="76" t="s">
        <v>1049</v>
      </c>
      <c r="R158" s="76" t="s">
        <v>388</v>
      </c>
      <c r="S158" s="83">
        <v>100000000</v>
      </c>
      <c r="T158" s="76"/>
      <c r="U158" s="80" t="s">
        <v>1050</v>
      </c>
      <c r="V158" s="76" t="s">
        <v>1015</v>
      </c>
      <c r="W158" s="80" t="s">
        <v>1008</v>
      </c>
      <c r="X158" s="80" t="s">
        <v>1051</v>
      </c>
      <c r="Y158" s="80" t="s">
        <v>1052</v>
      </c>
      <c r="Z158" s="82">
        <v>0.02</v>
      </c>
      <c r="AA158" s="80"/>
      <c r="AB158" s="80"/>
      <c r="AC158" s="80" t="s">
        <v>1053</v>
      </c>
      <c r="AD158" s="81" t="s">
        <v>1054</v>
      </c>
    </row>
    <row r="159" spans="1:30" ht="156" x14ac:dyDescent="0.3">
      <c r="A159" s="76"/>
      <c r="B159" s="76" t="s">
        <v>360</v>
      </c>
      <c r="C159" s="76"/>
      <c r="D159" s="76"/>
      <c r="E159" s="76"/>
      <c r="F159" s="76"/>
      <c r="G159" s="76"/>
      <c r="H159" s="77" t="s">
        <v>360</v>
      </c>
      <c r="I159" s="76" t="s">
        <v>361</v>
      </c>
      <c r="J159" s="76"/>
      <c r="K159" s="76" t="s">
        <v>442</v>
      </c>
      <c r="L159" s="76" t="s">
        <v>443</v>
      </c>
      <c r="M159" s="76"/>
      <c r="N159" s="76" t="s">
        <v>1055</v>
      </c>
      <c r="O159" s="76" t="s">
        <v>416</v>
      </c>
      <c r="P159" s="76" t="s">
        <v>1056</v>
      </c>
      <c r="Q159" s="76" t="s">
        <v>1057</v>
      </c>
      <c r="R159" s="76" t="s">
        <v>388</v>
      </c>
      <c r="S159" s="83">
        <v>125000000</v>
      </c>
      <c r="T159" s="76"/>
      <c r="U159" s="80" t="s">
        <v>1058</v>
      </c>
      <c r="V159" s="76" t="s">
        <v>428</v>
      </c>
      <c r="W159" s="80"/>
      <c r="X159" s="80"/>
      <c r="Y159" s="80"/>
      <c r="Z159" s="80"/>
      <c r="AA159" s="80"/>
      <c r="AB159" s="80"/>
      <c r="AC159" s="80"/>
      <c r="AD159" s="81"/>
    </row>
    <row r="160" spans="1:30" ht="409.6" x14ac:dyDescent="0.3">
      <c r="A160" s="76" t="s">
        <v>360</v>
      </c>
      <c r="B160" s="76" t="s">
        <v>360</v>
      </c>
      <c r="C160" s="76"/>
      <c r="D160" s="76"/>
      <c r="E160" s="76"/>
      <c r="F160" s="76"/>
      <c r="G160" s="76"/>
      <c r="H160" s="77"/>
      <c r="I160" s="76" t="s">
        <v>361</v>
      </c>
      <c r="J160" s="76"/>
      <c r="K160" s="76" t="s">
        <v>442</v>
      </c>
      <c r="L160" s="76" t="s">
        <v>443</v>
      </c>
      <c r="M160" s="76"/>
      <c r="N160" s="76" t="s">
        <v>1059</v>
      </c>
      <c r="O160" s="76" t="s">
        <v>416</v>
      </c>
      <c r="P160" s="76" t="s">
        <v>1060</v>
      </c>
      <c r="Q160" s="76"/>
      <c r="R160" s="76" t="s">
        <v>388</v>
      </c>
      <c r="S160" s="91">
        <f>SUM(280000000, 280000000, 280000000, 280000000, 280000000)</f>
        <v>1400000000</v>
      </c>
      <c r="T160" s="76"/>
      <c r="U160" s="80" t="s">
        <v>1061</v>
      </c>
      <c r="V160" s="76" t="s">
        <v>428</v>
      </c>
      <c r="W160" s="80"/>
      <c r="X160" s="80" t="s">
        <v>380</v>
      </c>
      <c r="Y160" s="80" t="s">
        <v>1062</v>
      </c>
      <c r="Z160" s="80"/>
      <c r="AA160" s="80" t="s">
        <v>374</v>
      </c>
      <c r="AB160" s="80" t="s">
        <v>1063</v>
      </c>
      <c r="AC160" s="80"/>
      <c r="AD160" s="81"/>
    </row>
    <row r="161" spans="1:30" ht="409.6" x14ac:dyDescent="0.3">
      <c r="A161" s="76" t="s">
        <v>360</v>
      </c>
      <c r="B161" s="76" t="s">
        <v>360</v>
      </c>
      <c r="C161" s="76"/>
      <c r="D161" s="76" t="s">
        <v>360</v>
      </c>
      <c r="E161" s="76"/>
      <c r="F161" s="76"/>
      <c r="G161" s="76"/>
      <c r="H161" s="77"/>
      <c r="I161" s="76" t="s">
        <v>361</v>
      </c>
      <c r="J161" s="76"/>
      <c r="K161" s="76" t="s">
        <v>442</v>
      </c>
      <c r="L161" s="76" t="s">
        <v>443</v>
      </c>
      <c r="M161" s="76"/>
      <c r="N161" s="76" t="s">
        <v>1064</v>
      </c>
      <c r="O161" s="76" t="s">
        <v>416</v>
      </c>
      <c r="P161" s="76" t="s">
        <v>1065</v>
      </c>
      <c r="Q161" s="76" t="s">
        <v>1066</v>
      </c>
      <c r="R161" s="76" t="s">
        <v>388</v>
      </c>
      <c r="S161" s="83">
        <v>125000000</v>
      </c>
      <c r="T161" s="76"/>
      <c r="U161" s="80" t="s">
        <v>1067</v>
      </c>
      <c r="V161" s="76"/>
      <c r="W161" s="80"/>
      <c r="X161" s="80"/>
      <c r="Y161" s="80"/>
      <c r="Z161" s="80"/>
      <c r="AA161" s="82">
        <v>0.25</v>
      </c>
      <c r="AB161" s="80" t="s">
        <v>1068</v>
      </c>
      <c r="AC161" s="80" t="s">
        <v>1069</v>
      </c>
      <c r="AD161" s="81"/>
    </row>
    <row r="162" spans="1:30" ht="409.6" x14ac:dyDescent="0.3">
      <c r="A162" s="76"/>
      <c r="B162" s="76"/>
      <c r="C162" s="76"/>
      <c r="D162" s="76" t="s">
        <v>360</v>
      </c>
      <c r="E162" s="76"/>
      <c r="F162" s="76"/>
      <c r="G162" s="76"/>
      <c r="H162" s="77"/>
      <c r="I162" s="76" t="s">
        <v>361</v>
      </c>
      <c r="J162" s="76"/>
      <c r="K162" s="76" t="s">
        <v>442</v>
      </c>
      <c r="L162" s="76" t="s">
        <v>443</v>
      </c>
      <c r="M162" s="76"/>
      <c r="N162" s="76" t="s">
        <v>1070</v>
      </c>
      <c r="O162" s="76" t="s">
        <v>416</v>
      </c>
      <c r="P162" s="76" t="s">
        <v>952</v>
      </c>
      <c r="Q162" s="76" t="s">
        <v>1071</v>
      </c>
      <c r="R162" s="76" t="s">
        <v>388</v>
      </c>
      <c r="S162" s="83">
        <v>10000000</v>
      </c>
      <c r="T162" s="76"/>
      <c r="U162" s="80" t="s">
        <v>1072</v>
      </c>
      <c r="V162" s="76" t="s">
        <v>371</v>
      </c>
      <c r="W162" s="80" t="s">
        <v>1008</v>
      </c>
      <c r="X162" s="80" t="s">
        <v>596</v>
      </c>
      <c r="Y162" s="80" t="s">
        <v>1073</v>
      </c>
      <c r="Z162" s="80"/>
      <c r="AA162" s="80"/>
      <c r="AB162" s="80"/>
      <c r="AC162" s="80" t="s">
        <v>1074</v>
      </c>
      <c r="AD162" s="81"/>
    </row>
    <row r="163" spans="1:30" ht="409.6" x14ac:dyDescent="0.3">
      <c r="A163" s="76" t="s">
        <v>360</v>
      </c>
      <c r="B163" s="76" t="s">
        <v>360</v>
      </c>
      <c r="C163" s="76"/>
      <c r="D163" s="76"/>
      <c r="E163" s="76"/>
      <c r="F163" s="76"/>
      <c r="G163" s="76"/>
      <c r="H163" s="77"/>
      <c r="I163" s="76" t="s">
        <v>361</v>
      </c>
      <c r="J163" s="76"/>
      <c r="K163" s="76" t="s">
        <v>442</v>
      </c>
      <c r="L163" s="76" t="s">
        <v>443</v>
      </c>
      <c r="M163" s="76"/>
      <c r="N163" s="76" t="s">
        <v>1075</v>
      </c>
      <c r="O163" s="76" t="s">
        <v>416</v>
      </c>
      <c r="P163" s="76" t="s">
        <v>1060</v>
      </c>
      <c r="Q163" s="76" t="s">
        <v>1076</v>
      </c>
      <c r="R163" s="76"/>
      <c r="S163" s="76" t="s">
        <v>930</v>
      </c>
      <c r="T163" s="76"/>
      <c r="U163" s="80" t="s">
        <v>1077</v>
      </c>
      <c r="V163" s="76" t="s">
        <v>371</v>
      </c>
      <c r="W163" s="80" t="s">
        <v>1008</v>
      </c>
      <c r="X163" s="80" t="s">
        <v>596</v>
      </c>
      <c r="Y163" s="80" t="s">
        <v>1078</v>
      </c>
      <c r="Z163" s="82">
        <v>0.02</v>
      </c>
      <c r="AA163" s="80"/>
      <c r="AB163" s="80"/>
      <c r="AC163" s="80"/>
      <c r="AD163" s="81"/>
    </row>
    <row r="164" spans="1:30" ht="409.6" x14ac:dyDescent="0.3">
      <c r="A164" s="76"/>
      <c r="B164" s="76"/>
      <c r="C164" s="76"/>
      <c r="D164" s="76" t="s">
        <v>457</v>
      </c>
      <c r="E164" s="76"/>
      <c r="F164" s="76"/>
      <c r="G164" s="76"/>
      <c r="H164" s="77"/>
      <c r="I164" s="76" t="s">
        <v>361</v>
      </c>
      <c r="J164" s="76"/>
      <c r="K164" s="76" t="s">
        <v>442</v>
      </c>
      <c r="L164" s="76" t="s">
        <v>443</v>
      </c>
      <c r="M164" s="76"/>
      <c r="N164" s="76" t="s">
        <v>1079</v>
      </c>
      <c r="O164" s="76" t="s">
        <v>416</v>
      </c>
      <c r="P164" s="76" t="s">
        <v>952</v>
      </c>
      <c r="Q164" s="76"/>
      <c r="R164" s="76" t="s">
        <v>388</v>
      </c>
      <c r="S164" s="83">
        <v>250000000</v>
      </c>
      <c r="T164" s="76"/>
      <c r="U164" s="80" t="s">
        <v>1080</v>
      </c>
      <c r="V164" s="76" t="s">
        <v>371</v>
      </c>
      <c r="W164" s="80" t="s">
        <v>1008</v>
      </c>
      <c r="X164" s="80"/>
      <c r="Y164" s="80"/>
      <c r="Z164" s="82">
        <v>0.02</v>
      </c>
      <c r="AA164" s="80"/>
      <c r="AB164" s="80"/>
      <c r="AC164" s="80" t="s">
        <v>1081</v>
      </c>
      <c r="AD164" s="81"/>
    </row>
    <row r="165" spans="1:30" ht="409.6" x14ac:dyDescent="0.3">
      <c r="A165" s="76" t="s">
        <v>360</v>
      </c>
      <c r="B165" s="76"/>
      <c r="C165" s="76"/>
      <c r="D165" s="76" t="s">
        <v>360</v>
      </c>
      <c r="E165" s="76"/>
      <c r="F165" s="76"/>
      <c r="G165" s="76"/>
      <c r="H165" s="77"/>
      <c r="I165" s="76" t="s">
        <v>361</v>
      </c>
      <c r="J165" s="76"/>
      <c r="K165" s="76" t="s">
        <v>442</v>
      </c>
      <c r="L165" s="76" t="s">
        <v>443</v>
      </c>
      <c r="M165" s="76"/>
      <c r="N165" s="76" t="s">
        <v>1082</v>
      </c>
      <c r="O165" s="76" t="s">
        <v>416</v>
      </c>
      <c r="P165" s="76" t="s">
        <v>1083</v>
      </c>
      <c r="Q165" s="76" t="s">
        <v>1084</v>
      </c>
      <c r="R165" s="76" t="s">
        <v>388</v>
      </c>
      <c r="S165" s="91">
        <f>SUM(2400000000, 2750000000, 3000000000, 3250000000, 3250000000)</f>
        <v>14650000000</v>
      </c>
      <c r="T165" s="76"/>
      <c r="U165" s="80" t="s">
        <v>1085</v>
      </c>
      <c r="V165" s="76" t="s">
        <v>428</v>
      </c>
      <c r="W165" s="80" t="s">
        <v>1086</v>
      </c>
      <c r="X165" s="80" t="s">
        <v>380</v>
      </c>
      <c r="Y165" s="80"/>
      <c r="Z165" s="80"/>
      <c r="AA165" s="80"/>
      <c r="AB165" s="80"/>
      <c r="AC165" s="80"/>
      <c r="AD165" s="81"/>
    </row>
    <row r="166" spans="1:30" ht="390" x14ac:dyDescent="0.3">
      <c r="A166" s="76"/>
      <c r="B166" s="76"/>
      <c r="C166" s="76"/>
      <c r="D166" s="76" t="s">
        <v>360</v>
      </c>
      <c r="E166" s="76" t="s">
        <v>360</v>
      </c>
      <c r="F166" s="76"/>
      <c r="G166" s="76"/>
      <c r="H166" s="77"/>
      <c r="I166" s="76" t="s">
        <v>361</v>
      </c>
      <c r="J166" s="76"/>
      <c r="K166" s="76" t="s">
        <v>442</v>
      </c>
      <c r="L166" s="76" t="s">
        <v>443</v>
      </c>
      <c r="M166" s="76"/>
      <c r="N166" s="76" t="s">
        <v>1087</v>
      </c>
      <c r="O166" s="76" t="s">
        <v>416</v>
      </c>
      <c r="P166" s="76" t="s">
        <v>1088</v>
      </c>
      <c r="Q166" s="76"/>
      <c r="R166" s="76" t="s">
        <v>388</v>
      </c>
      <c r="S166" s="83">
        <v>25000000</v>
      </c>
      <c r="T166" s="76"/>
      <c r="U166" s="80" t="s">
        <v>1089</v>
      </c>
      <c r="V166" s="76"/>
      <c r="W166" s="80"/>
      <c r="X166" s="80"/>
      <c r="Y166" s="80"/>
      <c r="Z166" s="80"/>
      <c r="AA166" s="80"/>
      <c r="AB166" s="80"/>
      <c r="AC166" s="80"/>
      <c r="AD166" s="81"/>
    </row>
    <row r="167" spans="1:30" ht="187.2" x14ac:dyDescent="0.3">
      <c r="A167" s="76"/>
      <c r="B167" s="76"/>
      <c r="C167" s="76"/>
      <c r="D167" s="76" t="s">
        <v>360</v>
      </c>
      <c r="E167" s="76"/>
      <c r="F167" s="76"/>
      <c r="G167" s="76"/>
      <c r="H167" s="77"/>
      <c r="I167" s="76" t="s">
        <v>361</v>
      </c>
      <c r="J167" s="76"/>
      <c r="K167" s="76" t="s">
        <v>442</v>
      </c>
      <c r="L167" s="76" t="s">
        <v>443</v>
      </c>
      <c r="M167" s="76"/>
      <c r="N167" s="76" t="s">
        <v>1090</v>
      </c>
      <c r="O167" s="76" t="s">
        <v>416</v>
      </c>
      <c r="P167" s="76" t="s">
        <v>1091</v>
      </c>
      <c r="Q167" s="76"/>
      <c r="R167" s="76" t="s">
        <v>388</v>
      </c>
      <c r="S167" s="91">
        <f>SUM(40000000, 40000000, 40000000, 50000000, 60000000)</f>
        <v>230000000</v>
      </c>
      <c r="T167" s="76"/>
      <c r="U167" s="80" t="s">
        <v>1092</v>
      </c>
      <c r="V167" s="76"/>
      <c r="W167" s="80"/>
      <c r="X167" s="80" t="s">
        <v>1093</v>
      </c>
      <c r="Y167" s="80"/>
      <c r="Z167" s="80"/>
      <c r="AA167" s="82">
        <v>0.25</v>
      </c>
      <c r="AB167" s="80"/>
      <c r="AC167" s="80"/>
      <c r="AD167" s="81"/>
    </row>
    <row r="168" spans="1:30" ht="409.6" x14ac:dyDescent="0.3">
      <c r="A168" s="76"/>
      <c r="B168" s="76"/>
      <c r="C168" s="76"/>
      <c r="D168" s="76" t="s">
        <v>360</v>
      </c>
      <c r="E168" s="76"/>
      <c r="F168" s="76"/>
      <c r="G168" s="76"/>
      <c r="H168" s="77"/>
      <c r="I168" s="76" t="s">
        <v>361</v>
      </c>
      <c r="J168" s="76"/>
      <c r="K168" s="76" t="s">
        <v>442</v>
      </c>
      <c r="L168" s="76" t="s">
        <v>443</v>
      </c>
      <c r="M168" s="76"/>
      <c r="N168" s="76" t="s">
        <v>1094</v>
      </c>
      <c r="O168" s="76" t="s">
        <v>416</v>
      </c>
      <c r="P168" s="76" t="s">
        <v>952</v>
      </c>
      <c r="Q168" s="76" t="s">
        <v>1095</v>
      </c>
      <c r="R168" s="76"/>
      <c r="S168" s="91">
        <f>SUM(15000000, 15000000, 15000000, 15000000, 15000000)</f>
        <v>75000000</v>
      </c>
      <c r="T168" s="76"/>
      <c r="U168" s="80" t="s">
        <v>1096</v>
      </c>
      <c r="V168" s="76" t="s">
        <v>1097</v>
      </c>
      <c r="W168" s="80" t="s">
        <v>1098</v>
      </c>
      <c r="X168" s="80" t="s">
        <v>408</v>
      </c>
      <c r="Y168" s="80" t="s">
        <v>1099</v>
      </c>
      <c r="Z168" s="80"/>
      <c r="AA168" s="80"/>
      <c r="AB168" s="80"/>
      <c r="AC168" s="80"/>
      <c r="AD168" s="81"/>
    </row>
    <row r="169" spans="1:30" ht="249.6" x14ac:dyDescent="0.3">
      <c r="A169" s="76"/>
      <c r="B169" s="76"/>
      <c r="C169" s="76"/>
      <c r="D169" s="76" t="s">
        <v>360</v>
      </c>
      <c r="E169" s="76"/>
      <c r="F169" s="76"/>
      <c r="G169" s="76"/>
      <c r="H169" s="77"/>
      <c r="I169" s="76" t="s">
        <v>361</v>
      </c>
      <c r="J169" s="76"/>
      <c r="K169" s="76" t="s">
        <v>442</v>
      </c>
      <c r="L169" s="76" t="s">
        <v>443</v>
      </c>
      <c r="M169" s="76"/>
      <c r="N169" s="76" t="s">
        <v>1100</v>
      </c>
      <c r="O169" s="76" t="s">
        <v>416</v>
      </c>
      <c r="P169" s="76" t="s">
        <v>952</v>
      </c>
      <c r="Q169" s="76"/>
      <c r="R169" s="76" t="s">
        <v>388</v>
      </c>
      <c r="S169" s="83">
        <v>250000000</v>
      </c>
      <c r="T169" s="76"/>
      <c r="U169" s="80" t="s">
        <v>1101</v>
      </c>
      <c r="V169" s="76"/>
      <c r="W169" s="80"/>
      <c r="X169" s="80"/>
      <c r="Y169" s="80"/>
      <c r="Z169" s="80"/>
      <c r="AA169" s="80"/>
      <c r="AB169" s="80"/>
      <c r="AC169" s="80"/>
      <c r="AD169" s="81"/>
    </row>
    <row r="170" spans="1:30" ht="409.6" x14ac:dyDescent="0.3">
      <c r="A170" s="76"/>
      <c r="B170" s="76"/>
      <c r="C170" s="76"/>
      <c r="D170" s="76" t="s">
        <v>360</v>
      </c>
      <c r="E170" s="76"/>
      <c r="F170" s="76"/>
      <c r="G170" s="76"/>
      <c r="H170" s="77"/>
      <c r="I170" s="76" t="s">
        <v>361</v>
      </c>
      <c r="J170" s="76"/>
      <c r="K170" s="76" t="s">
        <v>442</v>
      </c>
      <c r="L170" s="76" t="s">
        <v>443</v>
      </c>
      <c r="M170" s="76"/>
      <c r="N170" s="76" t="s">
        <v>1102</v>
      </c>
      <c r="O170" s="76" t="s">
        <v>416</v>
      </c>
      <c r="P170" s="76" t="s">
        <v>1091</v>
      </c>
      <c r="Q170" s="76" t="s">
        <v>1103</v>
      </c>
      <c r="R170" s="76" t="s">
        <v>388</v>
      </c>
      <c r="S170" s="83">
        <f>SUM(25000000, 50000000)</f>
        <v>75000000</v>
      </c>
      <c r="T170" s="76"/>
      <c r="U170" s="80" t="s">
        <v>1104</v>
      </c>
      <c r="V170" s="76" t="s">
        <v>371</v>
      </c>
      <c r="W170" s="80" t="s">
        <v>407</v>
      </c>
      <c r="X170" s="80" t="s">
        <v>596</v>
      </c>
      <c r="Y170" s="80" t="s">
        <v>1105</v>
      </c>
      <c r="Z170" s="82">
        <v>0.02</v>
      </c>
      <c r="AA170" s="80" t="s">
        <v>374</v>
      </c>
      <c r="AB170" s="80" t="s">
        <v>1106</v>
      </c>
      <c r="AC170" s="80" t="s">
        <v>1107</v>
      </c>
      <c r="AD170" s="81"/>
    </row>
    <row r="171" spans="1:30" ht="409.6" x14ac:dyDescent="0.3">
      <c r="A171" s="76"/>
      <c r="B171" s="76"/>
      <c r="C171" s="76"/>
      <c r="D171" s="76" t="s">
        <v>360</v>
      </c>
      <c r="E171" s="76"/>
      <c r="F171" s="76"/>
      <c r="G171" s="76"/>
      <c r="H171" s="77"/>
      <c r="I171" s="76" t="s">
        <v>361</v>
      </c>
      <c r="J171" s="76"/>
      <c r="K171" s="76" t="s">
        <v>442</v>
      </c>
      <c r="L171" s="76" t="s">
        <v>443</v>
      </c>
      <c r="M171" s="76"/>
      <c r="N171" s="76" t="s">
        <v>1108</v>
      </c>
      <c r="O171" s="76" t="s">
        <v>416</v>
      </c>
      <c r="P171" s="76" t="s">
        <v>1091</v>
      </c>
      <c r="Q171" s="76" t="s">
        <v>1109</v>
      </c>
      <c r="R171" s="76"/>
      <c r="S171" s="76" t="s">
        <v>1020</v>
      </c>
      <c r="T171" s="76" t="s">
        <v>1110</v>
      </c>
      <c r="U171" s="80" t="s">
        <v>1111</v>
      </c>
      <c r="V171" s="76" t="s">
        <v>371</v>
      </c>
      <c r="W171" s="80" t="s">
        <v>1112</v>
      </c>
      <c r="X171" s="80"/>
      <c r="Y171" s="80"/>
      <c r="Z171" s="80"/>
      <c r="AA171" s="80"/>
      <c r="AB171" s="80"/>
      <c r="AC171" s="80"/>
      <c r="AD171" s="81"/>
    </row>
    <row r="172" spans="1:30" ht="171.6" x14ac:dyDescent="0.3">
      <c r="A172" s="76"/>
      <c r="B172" s="76"/>
      <c r="C172" s="76"/>
      <c r="D172" s="76" t="s">
        <v>360</v>
      </c>
      <c r="E172" s="76"/>
      <c r="F172" s="76"/>
      <c r="G172" s="76"/>
      <c r="H172" s="77"/>
      <c r="I172" s="76" t="s">
        <v>361</v>
      </c>
      <c r="J172" s="76" t="s">
        <v>362</v>
      </c>
      <c r="K172" s="76" t="s">
        <v>442</v>
      </c>
      <c r="L172" s="76" t="s">
        <v>443</v>
      </c>
      <c r="M172" s="76"/>
      <c r="N172" s="76" t="s">
        <v>1113</v>
      </c>
      <c r="O172" s="76" t="s">
        <v>416</v>
      </c>
      <c r="P172" s="76" t="s">
        <v>1091</v>
      </c>
      <c r="Q172" s="76"/>
      <c r="R172" s="76" t="s">
        <v>930</v>
      </c>
      <c r="S172" s="76" t="s">
        <v>1020</v>
      </c>
      <c r="T172" s="76" t="s">
        <v>930</v>
      </c>
      <c r="U172" s="80" t="s">
        <v>1114</v>
      </c>
      <c r="V172" s="76" t="s">
        <v>371</v>
      </c>
      <c r="W172" s="80" t="s">
        <v>1022</v>
      </c>
      <c r="X172" s="80"/>
      <c r="Y172" s="80"/>
      <c r="Z172" s="80"/>
      <c r="AA172" s="80"/>
      <c r="AB172" s="80"/>
      <c r="AC172" s="80"/>
      <c r="AD172" s="81"/>
    </row>
    <row r="173" spans="1:30" ht="140.4" x14ac:dyDescent="0.3">
      <c r="A173" s="76"/>
      <c r="B173" s="76"/>
      <c r="C173" s="76"/>
      <c r="D173" s="76" t="s">
        <v>360</v>
      </c>
      <c r="E173" s="76" t="s">
        <v>360</v>
      </c>
      <c r="F173" s="76"/>
      <c r="G173" s="76"/>
      <c r="H173" s="77"/>
      <c r="I173" s="76" t="s">
        <v>361</v>
      </c>
      <c r="J173" s="76"/>
      <c r="K173" s="76" t="s">
        <v>1115</v>
      </c>
      <c r="L173" s="76" t="s">
        <v>1116</v>
      </c>
      <c r="M173" s="76"/>
      <c r="N173" s="76">
        <v>70101</v>
      </c>
      <c r="O173" s="76"/>
      <c r="P173" s="76" t="s">
        <v>1117</v>
      </c>
      <c r="Q173" s="76" t="s">
        <v>1118</v>
      </c>
      <c r="R173" s="76" t="s">
        <v>675</v>
      </c>
      <c r="S173" s="83">
        <v>2500000000</v>
      </c>
      <c r="T173" s="76" t="s">
        <v>1119</v>
      </c>
      <c r="U173" s="80" t="s">
        <v>1120</v>
      </c>
      <c r="V173" s="76"/>
      <c r="W173" s="80"/>
      <c r="X173" s="80"/>
      <c r="Y173" s="80"/>
      <c r="Z173" s="80"/>
      <c r="AA173" s="80"/>
      <c r="AB173" s="80"/>
      <c r="AC173" s="80"/>
      <c r="AD173" s="81"/>
    </row>
    <row r="174" spans="1:30" ht="265.2" x14ac:dyDescent="0.3">
      <c r="A174" s="76"/>
      <c r="B174" s="76" t="s">
        <v>360</v>
      </c>
      <c r="C174" s="76"/>
      <c r="D174" s="76"/>
      <c r="E174" s="76"/>
      <c r="F174" s="76"/>
      <c r="G174" s="76" t="s">
        <v>360</v>
      </c>
      <c r="H174" s="77"/>
      <c r="I174" s="76" t="s">
        <v>361</v>
      </c>
      <c r="J174" s="76"/>
      <c r="K174" s="76" t="s">
        <v>1115</v>
      </c>
      <c r="L174" s="76" t="s">
        <v>1121</v>
      </c>
      <c r="M174" s="76"/>
      <c r="N174" s="76">
        <v>70401</v>
      </c>
      <c r="O174" s="76" t="s">
        <v>416</v>
      </c>
      <c r="P174" s="76" t="s">
        <v>1122</v>
      </c>
      <c r="Q174" s="76"/>
      <c r="R174" s="76" t="s">
        <v>675</v>
      </c>
      <c r="S174" s="78">
        <v>10000000</v>
      </c>
      <c r="T174" s="84">
        <v>46295</v>
      </c>
      <c r="U174" s="80" t="s">
        <v>1123</v>
      </c>
      <c r="V174" s="76" t="s">
        <v>371</v>
      </c>
      <c r="W174" s="80"/>
      <c r="X174" s="80" t="s">
        <v>1124</v>
      </c>
      <c r="Y174" s="80"/>
      <c r="Z174" s="80"/>
      <c r="AA174" s="80"/>
      <c r="AB174" s="80"/>
      <c r="AC174" s="80"/>
      <c r="AD174" s="81"/>
    </row>
    <row r="175" spans="1:30" ht="409.6" x14ac:dyDescent="0.3">
      <c r="A175" s="76"/>
      <c r="B175" s="76"/>
      <c r="C175" s="76"/>
      <c r="D175" s="76"/>
      <c r="E175" s="76"/>
      <c r="F175" s="76"/>
      <c r="G175" s="76" t="s">
        <v>360</v>
      </c>
      <c r="H175" s="77"/>
      <c r="I175" s="76" t="s">
        <v>361</v>
      </c>
      <c r="J175" s="76"/>
      <c r="K175" s="76" t="s">
        <v>1115</v>
      </c>
      <c r="L175" s="76" t="s">
        <v>1121</v>
      </c>
      <c r="M175" s="76"/>
      <c r="N175" s="76">
        <v>70402</v>
      </c>
      <c r="O175" s="76" t="s">
        <v>416</v>
      </c>
      <c r="P175" s="76" t="s">
        <v>1125</v>
      </c>
      <c r="Q175" s="76"/>
      <c r="R175" s="76"/>
      <c r="S175" s="78">
        <v>75000000</v>
      </c>
      <c r="T175" s="84"/>
      <c r="U175" s="80" t="s">
        <v>1126</v>
      </c>
      <c r="V175" s="76"/>
      <c r="W175" s="80"/>
      <c r="X175" s="80" t="s">
        <v>408</v>
      </c>
      <c r="Y175" s="80" t="s">
        <v>1127</v>
      </c>
      <c r="Z175" s="80"/>
      <c r="AA175" s="80"/>
      <c r="AB175" s="80"/>
      <c r="AC175" s="80"/>
      <c r="AD175" s="81"/>
    </row>
    <row r="176" spans="1:30" ht="358.8" x14ac:dyDescent="0.3">
      <c r="A176" s="76"/>
      <c r="B176" s="76"/>
      <c r="C176" s="76"/>
      <c r="D176" s="76"/>
      <c r="E176" s="76"/>
      <c r="F176" s="76"/>
      <c r="G176" s="76" t="s">
        <v>360</v>
      </c>
      <c r="H176" s="77"/>
      <c r="I176" s="76" t="s">
        <v>361</v>
      </c>
      <c r="J176" s="76"/>
      <c r="K176" s="76" t="s">
        <v>1128</v>
      </c>
      <c r="L176" s="76" t="s">
        <v>1129</v>
      </c>
      <c r="M176" s="76"/>
      <c r="N176" s="76">
        <v>70501</v>
      </c>
      <c r="O176" s="76" t="s">
        <v>393</v>
      </c>
      <c r="P176" s="76"/>
      <c r="Q176" s="76" t="s">
        <v>1130</v>
      </c>
      <c r="R176" s="76" t="s">
        <v>395</v>
      </c>
      <c r="S176" s="83">
        <v>4000000</v>
      </c>
      <c r="T176" s="76" t="s">
        <v>426</v>
      </c>
      <c r="U176" s="80" t="s">
        <v>1131</v>
      </c>
      <c r="V176" s="76" t="s">
        <v>1015</v>
      </c>
      <c r="W176" s="80" t="s">
        <v>1132</v>
      </c>
      <c r="X176" s="80"/>
      <c r="Y176" s="80"/>
      <c r="Z176" s="80"/>
      <c r="AA176" s="80"/>
      <c r="AB176" s="80"/>
      <c r="AC176" s="80"/>
      <c r="AD176" s="81"/>
    </row>
    <row r="177" spans="1:30" ht="409.6" x14ac:dyDescent="0.3">
      <c r="A177" s="76"/>
      <c r="B177" s="76"/>
      <c r="C177" s="76" t="s">
        <v>360</v>
      </c>
      <c r="D177" s="76"/>
      <c r="E177" s="76"/>
      <c r="F177" s="76"/>
      <c r="G177" s="76"/>
      <c r="H177" s="77"/>
      <c r="I177" s="76" t="s">
        <v>361</v>
      </c>
      <c r="J177" s="76"/>
      <c r="K177" s="76" t="s">
        <v>1133</v>
      </c>
      <c r="L177" s="76" t="s">
        <v>1134</v>
      </c>
      <c r="M177" s="76"/>
      <c r="N177" s="76">
        <v>71101</v>
      </c>
      <c r="O177" s="76" t="s">
        <v>416</v>
      </c>
      <c r="P177" s="76" t="s">
        <v>334</v>
      </c>
      <c r="Q177" s="76" t="s">
        <v>1135</v>
      </c>
      <c r="R177" s="76"/>
      <c r="S177" s="83">
        <v>5000000000</v>
      </c>
      <c r="T177" s="76" t="s">
        <v>396</v>
      </c>
      <c r="U177" s="80" t="s">
        <v>1136</v>
      </c>
      <c r="V177" s="76"/>
      <c r="W177" s="80" t="s">
        <v>1137</v>
      </c>
      <c r="X177" s="80" t="s">
        <v>1138</v>
      </c>
      <c r="Y177" s="80"/>
      <c r="Z177" s="82">
        <v>0.03</v>
      </c>
      <c r="AA177" s="82">
        <v>0</v>
      </c>
      <c r="AB177" s="80" t="s">
        <v>1139</v>
      </c>
      <c r="AC177" s="80"/>
      <c r="AD177" s="81"/>
    </row>
    <row r="178" spans="1:30" ht="409.6" x14ac:dyDescent="0.3">
      <c r="A178" s="76"/>
      <c r="B178" s="76"/>
      <c r="C178" s="76" t="s">
        <v>360</v>
      </c>
      <c r="D178" s="76"/>
      <c r="E178" s="76"/>
      <c r="F178" s="76"/>
      <c r="G178" s="76"/>
      <c r="H178" s="77"/>
      <c r="I178" s="76" t="s">
        <v>361</v>
      </c>
      <c r="J178" s="76"/>
      <c r="K178" s="76" t="s">
        <v>1133</v>
      </c>
      <c r="L178" s="76" t="s">
        <v>1134</v>
      </c>
      <c r="M178" s="76"/>
      <c r="N178" s="76">
        <v>71102</v>
      </c>
      <c r="O178" s="76" t="s">
        <v>367</v>
      </c>
      <c r="P178" s="76" t="s">
        <v>334</v>
      </c>
      <c r="Q178" s="76" t="s">
        <v>1140</v>
      </c>
      <c r="R178" s="76"/>
      <c r="S178" s="83">
        <v>250000000</v>
      </c>
      <c r="T178" s="76" t="s">
        <v>396</v>
      </c>
      <c r="U178" s="80" t="s">
        <v>1141</v>
      </c>
      <c r="V178" s="76" t="s">
        <v>371</v>
      </c>
      <c r="W178" s="80" t="s">
        <v>1142</v>
      </c>
      <c r="X178" s="80"/>
      <c r="Y178" s="80"/>
      <c r="Z178" s="80"/>
      <c r="AA178" s="80"/>
      <c r="AB178" s="80"/>
      <c r="AC178" s="80" t="s">
        <v>1143</v>
      </c>
      <c r="AD178" s="81"/>
    </row>
    <row r="179" spans="1:30" ht="109.2" x14ac:dyDescent="0.3">
      <c r="A179" s="76"/>
      <c r="B179" s="76"/>
      <c r="C179" s="76" t="s">
        <v>360</v>
      </c>
      <c r="D179" s="76"/>
      <c r="E179" s="76"/>
      <c r="F179" s="76"/>
      <c r="G179" s="76"/>
      <c r="H179" s="77"/>
      <c r="I179" s="76" t="s">
        <v>361</v>
      </c>
      <c r="J179" s="76"/>
      <c r="K179" s="76" t="s">
        <v>1133</v>
      </c>
      <c r="L179" s="76" t="s">
        <v>1134</v>
      </c>
      <c r="M179" s="76"/>
      <c r="N179" s="76">
        <v>71103</v>
      </c>
      <c r="O179" s="76" t="s">
        <v>367</v>
      </c>
      <c r="P179" s="76" t="s">
        <v>334</v>
      </c>
      <c r="Q179" s="76"/>
      <c r="R179" s="76" t="s">
        <v>388</v>
      </c>
      <c r="S179" s="83">
        <v>1000000000</v>
      </c>
      <c r="T179" s="76"/>
      <c r="U179" s="80" t="s">
        <v>1144</v>
      </c>
      <c r="V179" s="76" t="s">
        <v>1015</v>
      </c>
      <c r="W179" s="80" t="s">
        <v>647</v>
      </c>
      <c r="X179" s="80"/>
      <c r="Y179" s="80"/>
      <c r="Z179" s="80"/>
      <c r="AA179" s="80"/>
      <c r="AB179" s="80"/>
      <c r="AC179" s="80"/>
      <c r="AD179" s="81"/>
    </row>
    <row r="180" spans="1:30" ht="358.8" x14ac:dyDescent="0.3">
      <c r="A180" s="76"/>
      <c r="B180" s="76"/>
      <c r="C180" s="76"/>
      <c r="D180" s="76"/>
      <c r="E180" s="76"/>
      <c r="F180" s="76"/>
      <c r="G180" s="76" t="s">
        <v>360</v>
      </c>
      <c r="H180" s="77" t="s">
        <v>360</v>
      </c>
      <c r="I180" s="76" t="s">
        <v>361</v>
      </c>
      <c r="J180" s="76"/>
      <c r="K180" s="76" t="s">
        <v>1145</v>
      </c>
      <c r="L180" s="76" t="s">
        <v>1146</v>
      </c>
      <c r="M180" s="76"/>
      <c r="N180" s="76" t="s">
        <v>1147</v>
      </c>
      <c r="O180" s="76"/>
      <c r="P180" s="76" t="s">
        <v>1148</v>
      </c>
      <c r="Q180" s="76" t="s">
        <v>1149</v>
      </c>
      <c r="R180" s="79">
        <v>44743</v>
      </c>
      <c r="S180" s="76" t="s">
        <v>930</v>
      </c>
      <c r="T180" s="79">
        <v>48213</v>
      </c>
      <c r="U180" s="80" t="s">
        <v>1150</v>
      </c>
      <c r="V180" s="76"/>
      <c r="W180" s="80"/>
      <c r="X180" s="80"/>
      <c r="Y180" s="80"/>
      <c r="Z180" s="80"/>
      <c r="AA180" s="80"/>
      <c r="AB180" s="80"/>
      <c r="AC180" s="80"/>
      <c r="AD180" s="81"/>
    </row>
    <row r="181" spans="1:30" ht="409.6" x14ac:dyDescent="0.3">
      <c r="A181" s="76"/>
      <c r="B181" s="76" t="s">
        <v>360</v>
      </c>
      <c r="C181" s="76"/>
      <c r="D181" s="76"/>
      <c r="E181" s="76"/>
      <c r="F181" s="76"/>
      <c r="G181" s="76"/>
      <c r="H181" s="77"/>
      <c r="I181" s="76"/>
      <c r="J181" s="76"/>
      <c r="K181" s="76" t="s">
        <v>413</v>
      </c>
      <c r="L181" s="76" t="s">
        <v>1151</v>
      </c>
      <c r="M181" s="76" t="s">
        <v>1152</v>
      </c>
      <c r="N181" s="76"/>
      <c r="O181" s="76" t="s">
        <v>393</v>
      </c>
      <c r="P181" s="76" t="s">
        <v>1153</v>
      </c>
      <c r="Q181" s="76" t="s">
        <v>1154</v>
      </c>
      <c r="R181" s="79"/>
      <c r="S181" s="83">
        <v>2000000000</v>
      </c>
      <c r="T181" s="84" t="s">
        <v>396</v>
      </c>
      <c r="U181" s="80" t="s">
        <v>1155</v>
      </c>
      <c r="V181" s="76"/>
      <c r="W181" s="80"/>
      <c r="X181" s="80"/>
      <c r="Y181" s="80"/>
      <c r="Z181" s="82">
        <v>0.04</v>
      </c>
      <c r="AA181" s="80"/>
      <c r="AB181" s="80" t="s">
        <v>1156</v>
      </c>
      <c r="AC181" s="80"/>
      <c r="AD181" s="81"/>
    </row>
    <row r="182" spans="1:30" ht="15.6" x14ac:dyDescent="0.3">
      <c r="A182" s="76"/>
      <c r="B182" s="76"/>
      <c r="C182" s="76"/>
      <c r="D182" s="76" t="s">
        <v>360</v>
      </c>
      <c r="E182" s="76"/>
      <c r="F182" s="76"/>
      <c r="G182" s="76"/>
      <c r="H182" s="77"/>
      <c r="I182" s="76"/>
      <c r="J182" s="76"/>
      <c r="K182" s="76" t="s">
        <v>413</v>
      </c>
      <c r="L182" s="76" t="s">
        <v>1157</v>
      </c>
      <c r="M182" s="76"/>
      <c r="N182" s="76"/>
      <c r="O182" s="76" t="s">
        <v>1158</v>
      </c>
      <c r="P182" s="76" t="s">
        <v>335</v>
      </c>
      <c r="Q182" s="76"/>
      <c r="R182" s="79"/>
      <c r="S182" s="83">
        <v>172000000</v>
      </c>
      <c r="T182" s="84"/>
      <c r="U182" s="80" t="s">
        <v>1159</v>
      </c>
      <c r="V182" s="76"/>
      <c r="W182" s="80"/>
      <c r="X182" s="80"/>
      <c r="Y182" s="80"/>
      <c r="Z182" s="80"/>
      <c r="AA182" s="80"/>
      <c r="AB182" s="80"/>
      <c r="AC182" s="80"/>
      <c r="AD182" s="81"/>
    </row>
    <row r="183" spans="1:30" ht="409.6" x14ac:dyDescent="0.3">
      <c r="A183" s="76"/>
      <c r="B183" s="76"/>
      <c r="C183" s="76"/>
      <c r="D183" s="76" t="s">
        <v>457</v>
      </c>
      <c r="E183" s="76"/>
      <c r="F183" s="76"/>
      <c r="G183" s="76"/>
      <c r="H183" s="77"/>
      <c r="I183" s="76"/>
      <c r="J183" s="76"/>
      <c r="K183" s="76" t="s">
        <v>413</v>
      </c>
      <c r="L183" s="76" t="s">
        <v>449</v>
      </c>
      <c r="M183" s="76" t="s">
        <v>450</v>
      </c>
      <c r="N183" s="76" t="s">
        <v>1160</v>
      </c>
      <c r="O183" s="76" t="s">
        <v>452</v>
      </c>
      <c r="P183" s="76" t="s">
        <v>335</v>
      </c>
      <c r="Q183" s="76"/>
      <c r="R183" s="79" t="s">
        <v>675</v>
      </c>
      <c r="S183" s="83">
        <v>150000000</v>
      </c>
      <c r="T183" s="84" t="s">
        <v>396</v>
      </c>
      <c r="U183" s="80" t="s">
        <v>1161</v>
      </c>
      <c r="V183" s="76"/>
      <c r="W183" s="80"/>
      <c r="X183" s="80"/>
      <c r="Y183" s="80"/>
      <c r="Z183" s="80"/>
      <c r="AA183" s="80"/>
      <c r="AB183" s="80"/>
      <c r="AC183" s="80"/>
      <c r="AD183" s="81"/>
    </row>
    <row r="184" spans="1:30" ht="265.2" x14ac:dyDescent="0.3">
      <c r="A184" s="76"/>
      <c r="B184" s="76"/>
      <c r="C184" s="76"/>
      <c r="D184" s="76" t="s">
        <v>360</v>
      </c>
      <c r="E184" s="76"/>
      <c r="F184" s="76"/>
      <c r="G184" s="76"/>
      <c r="H184" s="77"/>
      <c r="I184" s="76"/>
      <c r="J184" s="76"/>
      <c r="K184" s="76" t="s">
        <v>413</v>
      </c>
      <c r="L184" s="76" t="s">
        <v>449</v>
      </c>
      <c r="M184" s="76" t="s">
        <v>450</v>
      </c>
      <c r="N184" s="76" t="s">
        <v>1162</v>
      </c>
      <c r="O184" s="76" t="s">
        <v>452</v>
      </c>
      <c r="P184" s="76" t="s">
        <v>335</v>
      </c>
      <c r="Q184" s="76"/>
      <c r="R184" s="79"/>
      <c r="S184" s="83">
        <v>808000000</v>
      </c>
      <c r="T184" s="84" t="s">
        <v>396</v>
      </c>
      <c r="U184" s="80" t="s">
        <v>1163</v>
      </c>
      <c r="V184" s="76"/>
      <c r="W184" s="80"/>
      <c r="X184" s="80"/>
      <c r="Y184" s="80"/>
      <c r="Z184" s="80"/>
      <c r="AA184" s="80"/>
      <c r="AB184" s="80"/>
      <c r="AC184" s="80"/>
      <c r="AD184" s="81"/>
    </row>
    <row r="185" spans="1:30" ht="374.4" x14ac:dyDescent="0.3">
      <c r="A185" s="76"/>
      <c r="B185" s="76"/>
      <c r="C185" s="76"/>
      <c r="D185" s="76" t="s">
        <v>360</v>
      </c>
      <c r="E185" s="76"/>
      <c r="F185" s="76"/>
      <c r="G185" s="76"/>
      <c r="H185" s="77"/>
      <c r="I185" s="76"/>
      <c r="J185" s="76"/>
      <c r="K185" s="76" t="s">
        <v>413</v>
      </c>
      <c r="L185" s="76" t="s">
        <v>449</v>
      </c>
      <c r="M185" s="76" t="s">
        <v>450</v>
      </c>
      <c r="N185" s="76" t="s">
        <v>1164</v>
      </c>
      <c r="O185" s="76" t="s">
        <v>452</v>
      </c>
      <c r="P185" s="76" t="s">
        <v>335</v>
      </c>
      <c r="Q185" s="76"/>
      <c r="R185" s="79"/>
      <c r="S185" s="83">
        <v>4000000000</v>
      </c>
      <c r="T185" s="84" t="s">
        <v>396</v>
      </c>
      <c r="U185" s="80" t="s">
        <v>1165</v>
      </c>
      <c r="V185" s="76"/>
      <c r="W185" s="80"/>
      <c r="X185" s="80"/>
      <c r="Y185" s="80"/>
      <c r="Z185" s="80"/>
      <c r="AA185" s="80"/>
      <c r="AB185" s="80"/>
      <c r="AC185" s="80"/>
      <c r="AD185" s="81"/>
    </row>
    <row r="186" spans="1:30" ht="374.4" x14ac:dyDescent="0.3">
      <c r="A186" s="76"/>
      <c r="B186" s="76"/>
      <c r="C186" s="76"/>
      <c r="D186" s="76" t="s">
        <v>457</v>
      </c>
      <c r="E186" s="76"/>
      <c r="F186" s="76"/>
      <c r="G186" s="76"/>
      <c r="H186" s="77"/>
      <c r="I186" s="76"/>
      <c r="J186" s="76"/>
      <c r="K186" s="76" t="s">
        <v>413</v>
      </c>
      <c r="L186" s="76" t="s">
        <v>449</v>
      </c>
      <c r="M186" s="76" t="s">
        <v>450</v>
      </c>
      <c r="N186" s="76" t="s">
        <v>1166</v>
      </c>
      <c r="O186" s="76" t="s">
        <v>452</v>
      </c>
      <c r="P186" s="76" t="s">
        <v>335</v>
      </c>
      <c r="Q186" s="76"/>
      <c r="R186" s="79"/>
      <c r="S186" s="83">
        <v>75000000</v>
      </c>
      <c r="T186" s="84" t="s">
        <v>396</v>
      </c>
      <c r="U186" s="80" t="s">
        <v>1167</v>
      </c>
      <c r="V186" s="76"/>
      <c r="W186" s="80"/>
      <c r="X186" s="80"/>
      <c r="Y186" s="80"/>
      <c r="Z186" s="80" t="s">
        <v>1168</v>
      </c>
      <c r="AA186" s="80"/>
      <c r="AB186" s="80"/>
      <c r="AC186" s="80"/>
      <c r="AD186" s="81"/>
    </row>
    <row r="187" spans="1:30" ht="109.2" x14ac:dyDescent="0.3">
      <c r="A187" s="76"/>
      <c r="B187" s="76"/>
      <c r="C187" s="76"/>
      <c r="D187" s="76" t="s">
        <v>457</v>
      </c>
      <c r="E187" s="76"/>
      <c r="F187" s="76" t="s">
        <v>457</v>
      </c>
      <c r="G187" s="76"/>
      <c r="H187" s="77"/>
      <c r="I187" s="76"/>
      <c r="J187" s="76"/>
      <c r="K187" s="76" t="s">
        <v>413</v>
      </c>
      <c r="L187" s="76" t="s">
        <v>449</v>
      </c>
      <c r="M187" s="76" t="s">
        <v>1169</v>
      </c>
      <c r="N187" s="76" t="s">
        <v>1170</v>
      </c>
      <c r="O187" s="76" t="s">
        <v>1171</v>
      </c>
      <c r="P187" s="76" t="s">
        <v>419</v>
      </c>
      <c r="Q187" s="76"/>
      <c r="R187" s="76"/>
      <c r="S187" s="83">
        <v>50000000</v>
      </c>
      <c r="T187" s="84" t="s">
        <v>396</v>
      </c>
      <c r="U187" s="80" t="s">
        <v>1172</v>
      </c>
      <c r="V187" s="76"/>
      <c r="W187" s="80"/>
      <c r="X187" s="80"/>
      <c r="Y187" s="80"/>
      <c r="Z187" s="80"/>
      <c r="AA187" s="80"/>
      <c r="AB187" s="80"/>
      <c r="AC187" s="80"/>
      <c r="AD187" s="81"/>
    </row>
    <row r="188" spans="1:30" ht="93.6" x14ac:dyDescent="0.3">
      <c r="A188" s="76"/>
      <c r="B188" s="76" t="s">
        <v>457</v>
      </c>
      <c r="C188" s="76"/>
      <c r="D188" s="76"/>
      <c r="E188" s="76"/>
      <c r="F188" s="76"/>
      <c r="G188" s="76"/>
      <c r="H188" s="77"/>
      <c r="I188" s="76"/>
      <c r="J188" s="76"/>
      <c r="K188" s="76" t="s">
        <v>413</v>
      </c>
      <c r="L188" s="76" t="s">
        <v>449</v>
      </c>
      <c r="M188" s="76" t="s">
        <v>1173</v>
      </c>
      <c r="N188" s="76" t="s">
        <v>1174</v>
      </c>
      <c r="O188" s="76" t="s">
        <v>644</v>
      </c>
      <c r="P188" s="76" t="s">
        <v>1153</v>
      </c>
      <c r="Q188" s="76"/>
      <c r="R188" s="79"/>
      <c r="S188" s="76"/>
      <c r="T188" s="76"/>
      <c r="U188" s="80" t="s">
        <v>1175</v>
      </c>
      <c r="V188" s="76"/>
      <c r="W188" s="80"/>
      <c r="X188" s="80"/>
      <c r="Y188" s="80"/>
      <c r="Z188" s="80"/>
      <c r="AA188" s="80"/>
      <c r="AB188" s="80"/>
      <c r="AC188" s="80"/>
      <c r="AD188" s="81"/>
    </row>
    <row r="189" spans="1:30" ht="409.6" x14ac:dyDescent="0.3">
      <c r="A189" s="76"/>
      <c r="B189" s="76" t="s">
        <v>360</v>
      </c>
      <c r="C189" s="76"/>
      <c r="D189" s="76"/>
      <c r="E189" s="76"/>
      <c r="F189" s="76"/>
      <c r="G189" s="76"/>
      <c r="H189" s="77"/>
      <c r="I189" s="76"/>
      <c r="J189" s="76"/>
      <c r="K189" s="76" t="s">
        <v>413</v>
      </c>
      <c r="L189" s="76" t="s">
        <v>449</v>
      </c>
      <c r="M189" s="76" t="s">
        <v>1176</v>
      </c>
      <c r="N189" s="76"/>
      <c r="O189" s="76"/>
      <c r="P189" s="80" t="s">
        <v>666</v>
      </c>
      <c r="Q189" s="76"/>
      <c r="R189" s="79"/>
      <c r="S189" s="83">
        <v>500000000</v>
      </c>
      <c r="T189" s="84"/>
      <c r="U189" s="80" t="s">
        <v>1177</v>
      </c>
      <c r="V189" s="76"/>
      <c r="W189" s="80"/>
      <c r="X189" s="80"/>
      <c r="Y189" s="80"/>
      <c r="Z189" s="80"/>
      <c r="AA189" s="80"/>
      <c r="AB189" s="80"/>
      <c r="AC189" s="80"/>
      <c r="AD189" s="81"/>
    </row>
    <row r="190" spans="1:30" ht="249.6" x14ac:dyDescent="0.3">
      <c r="A190" s="76"/>
      <c r="B190" s="76"/>
      <c r="C190" s="76"/>
      <c r="D190" s="76" t="s">
        <v>457</v>
      </c>
      <c r="E190" s="76"/>
      <c r="F190" s="76"/>
      <c r="G190" s="76"/>
      <c r="H190" s="77"/>
      <c r="I190" s="76"/>
      <c r="J190" s="76"/>
      <c r="K190" s="76" t="s">
        <v>413</v>
      </c>
      <c r="L190" s="76" t="s">
        <v>1178</v>
      </c>
      <c r="M190" s="76" t="s">
        <v>1179</v>
      </c>
      <c r="N190" s="76" t="s">
        <v>1180</v>
      </c>
      <c r="O190" s="76" t="s">
        <v>1181</v>
      </c>
      <c r="P190" s="76" t="s">
        <v>335</v>
      </c>
      <c r="Q190" s="76"/>
      <c r="R190" s="79"/>
      <c r="S190" s="83">
        <v>733000000</v>
      </c>
      <c r="T190" s="84" t="s">
        <v>491</v>
      </c>
      <c r="U190" s="80" t="s">
        <v>1182</v>
      </c>
      <c r="V190" s="76"/>
      <c r="W190" s="80"/>
      <c r="X190" s="80"/>
      <c r="Y190" s="80"/>
      <c r="Z190" s="82">
        <v>0.03</v>
      </c>
      <c r="AA190" s="80"/>
      <c r="AB190" s="80"/>
      <c r="AC190" s="80"/>
      <c r="AD190" s="81"/>
    </row>
    <row r="191" spans="1:30" ht="124.8" x14ac:dyDescent="0.3">
      <c r="A191" s="76"/>
      <c r="B191" s="76"/>
      <c r="C191" s="76"/>
      <c r="D191" s="76" t="s">
        <v>457</v>
      </c>
      <c r="E191" s="76"/>
      <c r="F191" s="76"/>
      <c r="G191" s="76"/>
      <c r="H191" s="77"/>
      <c r="I191" s="76"/>
      <c r="J191" s="76"/>
      <c r="K191" s="76" t="s">
        <v>413</v>
      </c>
      <c r="L191" s="76" t="s">
        <v>1178</v>
      </c>
      <c r="M191" s="76" t="s">
        <v>1179</v>
      </c>
      <c r="N191" s="76" t="s">
        <v>1180</v>
      </c>
      <c r="O191" s="76" t="s">
        <v>1181</v>
      </c>
      <c r="P191" s="76" t="s">
        <v>335</v>
      </c>
      <c r="Q191" s="76"/>
      <c r="R191" s="79"/>
      <c r="S191" s="83">
        <v>1000000000</v>
      </c>
      <c r="T191" s="84" t="s">
        <v>491</v>
      </c>
      <c r="U191" s="80" t="s">
        <v>1183</v>
      </c>
      <c r="V191" s="76"/>
      <c r="W191" s="80"/>
      <c r="X191" s="80"/>
      <c r="Y191" s="80"/>
      <c r="Z191" s="82">
        <v>0.03</v>
      </c>
      <c r="AA191" s="80"/>
      <c r="AB191" s="80"/>
      <c r="AC191" s="80"/>
      <c r="AD191" s="81"/>
    </row>
    <row r="192" spans="1:30" ht="405.6" x14ac:dyDescent="0.3">
      <c r="A192" s="76"/>
      <c r="B192" s="76" t="s">
        <v>457</v>
      </c>
      <c r="C192" s="76"/>
      <c r="D192" s="76" t="s">
        <v>457</v>
      </c>
      <c r="E192" s="76" t="s">
        <v>457</v>
      </c>
      <c r="F192" s="76" t="s">
        <v>457</v>
      </c>
      <c r="G192" s="76"/>
      <c r="H192" s="77"/>
      <c r="I192" s="76"/>
      <c r="J192" s="76"/>
      <c r="K192" s="76" t="s">
        <v>413</v>
      </c>
      <c r="L192" s="76" t="s">
        <v>414</v>
      </c>
      <c r="M192" s="76" t="s">
        <v>1184</v>
      </c>
      <c r="N192" s="76"/>
      <c r="O192" s="76" t="s">
        <v>1171</v>
      </c>
      <c r="P192" s="76" t="s">
        <v>1185</v>
      </c>
      <c r="Q192" s="76"/>
      <c r="R192" s="79"/>
      <c r="S192" s="83"/>
      <c r="T192" s="84"/>
      <c r="U192" s="80" t="s">
        <v>1186</v>
      </c>
      <c r="V192" s="76"/>
      <c r="W192" s="80"/>
      <c r="X192" s="80"/>
      <c r="Y192" s="80"/>
      <c r="Z192" s="80"/>
      <c r="AA192" s="80"/>
      <c r="AB192" s="80"/>
      <c r="AC192" s="80"/>
      <c r="AD192" s="81"/>
    </row>
    <row r="193" spans="1:30" ht="234" x14ac:dyDescent="0.3">
      <c r="A193" s="76"/>
      <c r="B193" s="76"/>
      <c r="C193" s="76"/>
      <c r="D193" s="76"/>
      <c r="E193" s="76"/>
      <c r="F193" s="76" t="s">
        <v>360</v>
      </c>
      <c r="G193" s="76"/>
      <c r="H193" s="77"/>
      <c r="I193" s="76"/>
      <c r="J193" s="76"/>
      <c r="K193" s="76" t="s">
        <v>413</v>
      </c>
      <c r="L193" s="76" t="s">
        <v>414</v>
      </c>
      <c r="M193" s="76" t="s">
        <v>415</v>
      </c>
      <c r="N193" s="76"/>
      <c r="O193" s="76" t="s">
        <v>416</v>
      </c>
      <c r="P193" s="76" t="s">
        <v>337</v>
      </c>
      <c r="Q193" s="76"/>
      <c r="R193" s="79" t="s">
        <v>388</v>
      </c>
      <c r="S193" s="83">
        <v>1717000000</v>
      </c>
      <c r="T193" s="84">
        <v>46295</v>
      </c>
      <c r="U193" s="80" t="s">
        <v>1187</v>
      </c>
      <c r="V193" s="76"/>
      <c r="W193" s="80"/>
      <c r="X193" s="80"/>
      <c r="Y193" s="80"/>
      <c r="Z193" s="80" t="s">
        <v>1188</v>
      </c>
      <c r="AA193" s="80"/>
      <c r="AB193" s="80"/>
      <c r="AC193" s="80"/>
      <c r="AD193" s="81"/>
    </row>
    <row r="194" spans="1:30" ht="62.4" x14ac:dyDescent="0.3">
      <c r="A194" s="76"/>
      <c r="B194" s="76"/>
      <c r="C194" s="76"/>
      <c r="D194" s="76"/>
      <c r="E194" s="76"/>
      <c r="F194" s="76"/>
      <c r="G194" s="76"/>
      <c r="H194" s="77" t="s">
        <v>457</v>
      </c>
      <c r="I194" s="76"/>
      <c r="J194" s="76"/>
      <c r="K194" s="76" t="s">
        <v>413</v>
      </c>
      <c r="L194" s="76" t="s">
        <v>414</v>
      </c>
      <c r="M194" s="76" t="s">
        <v>415</v>
      </c>
      <c r="N194" s="76" t="s">
        <v>1189</v>
      </c>
      <c r="O194" s="76" t="s">
        <v>416</v>
      </c>
      <c r="P194" s="76" t="s">
        <v>989</v>
      </c>
      <c r="Q194" s="76"/>
      <c r="R194" s="79"/>
      <c r="S194" s="83">
        <v>3500000000</v>
      </c>
      <c r="T194" s="84"/>
      <c r="U194" s="80" t="s">
        <v>1190</v>
      </c>
      <c r="V194" s="76"/>
      <c r="W194" s="80"/>
      <c r="X194" s="80"/>
      <c r="Y194" s="80"/>
      <c r="Z194" s="80"/>
      <c r="AA194" s="80"/>
      <c r="AB194" s="80"/>
      <c r="AC194" s="80"/>
      <c r="AD194" s="81"/>
    </row>
    <row r="195" spans="1:30" ht="93.6" x14ac:dyDescent="0.3">
      <c r="A195" s="76"/>
      <c r="B195" s="76"/>
      <c r="C195" s="76"/>
      <c r="D195" s="76"/>
      <c r="E195" s="76"/>
      <c r="F195" s="76"/>
      <c r="G195" s="76"/>
      <c r="H195" s="77" t="s">
        <v>457</v>
      </c>
      <c r="I195" s="76"/>
      <c r="J195" s="76"/>
      <c r="K195" s="76" t="s">
        <v>413</v>
      </c>
      <c r="L195" s="76" t="s">
        <v>414</v>
      </c>
      <c r="M195" s="76"/>
      <c r="N195" s="76" t="s">
        <v>1191</v>
      </c>
      <c r="O195" s="76"/>
      <c r="P195" s="76" t="s">
        <v>989</v>
      </c>
      <c r="Q195" s="76"/>
      <c r="R195" s="79"/>
      <c r="S195" s="83">
        <v>5000000000</v>
      </c>
      <c r="T195" s="84"/>
      <c r="U195" s="80" t="s">
        <v>1192</v>
      </c>
      <c r="V195" s="76"/>
      <c r="W195" s="80"/>
      <c r="X195" s="80"/>
      <c r="Y195" s="80"/>
      <c r="Z195" s="80"/>
      <c r="AA195" s="80"/>
      <c r="AB195" s="80"/>
      <c r="AC195" s="80"/>
      <c r="AD195" s="81"/>
    </row>
    <row r="196" spans="1:30" ht="31.2" x14ac:dyDescent="0.3">
      <c r="A196" s="76"/>
      <c r="B196" s="76"/>
      <c r="C196" s="76"/>
      <c r="D196" s="76"/>
      <c r="E196" s="76"/>
      <c r="F196" s="76"/>
      <c r="G196" s="76"/>
      <c r="H196" s="77" t="s">
        <v>457</v>
      </c>
      <c r="I196" s="76"/>
      <c r="J196" s="76"/>
      <c r="K196" s="76" t="s">
        <v>413</v>
      </c>
      <c r="L196" s="76" t="s">
        <v>414</v>
      </c>
      <c r="M196" s="76"/>
      <c r="N196" s="76" t="s">
        <v>1191</v>
      </c>
      <c r="O196" s="76"/>
      <c r="P196" s="76" t="s">
        <v>989</v>
      </c>
      <c r="Q196" s="76"/>
      <c r="R196" s="79"/>
      <c r="S196" s="83">
        <v>1500000000</v>
      </c>
      <c r="T196" s="84"/>
      <c r="U196" s="80" t="s">
        <v>1193</v>
      </c>
      <c r="V196" s="76"/>
      <c r="W196" s="80"/>
      <c r="X196" s="80"/>
      <c r="Y196" s="80"/>
      <c r="Z196" s="80"/>
      <c r="AA196" s="80"/>
      <c r="AB196" s="80"/>
      <c r="AC196" s="80"/>
      <c r="AD196" s="81"/>
    </row>
    <row r="197" spans="1:30" ht="312" x14ac:dyDescent="0.3">
      <c r="A197" s="76"/>
      <c r="B197" s="76"/>
      <c r="C197" s="76"/>
      <c r="D197" s="76"/>
      <c r="E197" s="76" t="s">
        <v>360</v>
      </c>
      <c r="F197" s="76"/>
      <c r="G197" s="76"/>
      <c r="H197" s="77" t="s">
        <v>360</v>
      </c>
      <c r="I197" s="76"/>
      <c r="J197" s="76"/>
      <c r="K197" s="76" t="s">
        <v>413</v>
      </c>
      <c r="L197" s="76" t="s">
        <v>414</v>
      </c>
      <c r="M197" s="76" t="s">
        <v>1194</v>
      </c>
      <c r="N197" s="76"/>
      <c r="O197" s="76"/>
      <c r="P197" s="76" t="s">
        <v>1195</v>
      </c>
      <c r="Q197" s="76"/>
      <c r="R197" s="79"/>
      <c r="S197" s="83">
        <v>3500000000</v>
      </c>
      <c r="T197" s="84" t="s">
        <v>396</v>
      </c>
      <c r="U197" s="80" t="s">
        <v>1196</v>
      </c>
      <c r="V197" s="76"/>
      <c r="W197" s="80"/>
      <c r="X197" s="80"/>
      <c r="Y197" s="80"/>
      <c r="Z197" s="82">
        <v>0.03</v>
      </c>
      <c r="AA197" s="80"/>
      <c r="AB197" s="80"/>
      <c r="AC197" s="80"/>
      <c r="AD197" s="81"/>
    </row>
    <row r="198" spans="1:30" ht="46.8" x14ac:dyDescent="0.3">
      <c r="A198" s="76" t="s">
        <v>360</v>
      </c>
      <c r="B198" s="76"/>
      <c r="C198" s="76"/>
      <c r="D198" s="76"/>
      <c r="E198" s="76"/>
      <c r="F198" s="76"/>
      <c r="G198" s="76"/>
      <c r="H198" s="77"/>
      <c r="I198" s="76"/>
      <c r="J198" s="76"/>
      <c r="K198" s="76" t="s">
        <v>413</v>
      </c>
      <c r="L198" s="76" t="s">
        <v>1197</v>
      </c>
      <c r="M198" s="76" t="s">
        <v>1198</v>
      </c>
      <c r="N198" s="76" t="s">
        <v>1199</v>
      </c>
      <c r="O198" s="76"/>
      <c r="P198" s="76"/>
      <c r="Q198" s="76"/>
      <c r="R198" s="79" t="s">
        <v>388</v>
      </c>
      <c r="S198" s="83">
        <v>500000000</v>
      </c>
      <c r="T198" s="84">
        <v>38990</v>
      </c>
      <c r="U198" s="80" t="s">
        <v>1200</v>
      </c>
      <c r="V198" s="76"/>
      <c r="W198" s="80"/>
      <c r="X198" s="80"/>
      <c r="Y198" s="80"/>
      <c r="Z198" s="80"/>
      <c r="AA198" s="80"/>
      <c r="AB198" s="80"/>
      <c r="AC198" s="80"/>
      <c r="AD198" s="81"/>
    </row>
    <row r="199" spans="1:30" ht="409.6" x14ac:dyDescent="0.3">
      <c r="A199" s="76"/>
      <c r="B199" s="76"/>
      <c r="C199" s="76" t="s">
        <v>360</v>
      </c>
      <c r="D199" s="76"/>
      <c r="E199" s="76"/>
      <c r="F199" s="76"/>
      <c r="G199" s="76"/>
      <c r="H199" s="77"/>
      <c r="I199" s="76"/>
      <c r="J199" s="76"/>
      <c r="K199" s="76" t="s">
        <v>413</v>
      </c>
      <c r="L199" s="76" t="s">
        <v>1201</v>
      </c>
      <c r="M199" s="76"/>
      <c r="N199" s="76"/>
      <c r="O199" s="76" t="s">
        <v>367</v>
      </c>
      <c r="P199" s="76" t="s">
        <v>486</v>
      </c>
      <c r="Q199" s="76" t="s">
        <v>1202</v>
      </c>
      <c r="R199" s="79" t="s">
        <v>388</v>
      </c>
      <c r="S199" s="83">
        <v>2250000000</v>
      </c>
      <c r="T199" s="84">
        <v>49948</v>
      </c>
      <c r="U199" s="80" t="s">
        <v>1203</v>
      </c>
      <c r="V199" s="76" t="s">
        <v>607</v>
      </c>
      <c r="W199" s="80"/>
      <c r="X199" s="80" t="s">
        <v>1204</v>
      </c>
      <c r="Y199" s="80"/>
      <c r="Z199" s="80"/>
      <c r="AA199" s="80"/>
      <c r="AB199" s="80"/>
      <c r="AC199" s="80"/>
      <c r="AD199" s="81"/>
    </row>
    <row r="200" spans="1:30" ht="171.6" x14ac:dyDescent="0.3">
      <c r="A200" s="76"/>
      <c r="B200" s="76"/>
      <c r="C200" s="76" t="s">
        <v>360</v>
      </c>
      <c r="D200" s="76"/>
      <c r="E200" s="76"/>
      <c r="F200" s="76"/>
      <c r="G200" s="76"/>
      <c r="H200" s="77"/>
      <c r="I200" s="76"/>
      <c r="J200" s="76"/>
      <c r="K200" s="76" t="s">
        <v>413</v>
      </c>
      <c r="L200" s="76" t="s">
        <v>1201</v>
      </c>
      <c r="M200" s="76"/>
      <c r="N200" s="76"/>
      <c r="O200" s="76" t="s">
        <v>1205</v>
      </c>
      <c r="P200" s="76" t="s">
        <v>334</v>
      </c>
      <c r="Q200" s="76" t="s">
        <v>1206</v>
      </c>
      <c r="R200" s="79"/>
      <c r="S200" s="83">
        <v>10250000000</v>
      </c>
      <c r="T200" s="84"/>
      <c r="U200" s="80" t="s">
        <v>1207</v>
      </c>
      <c r="V200" s="76"/>
      <c r="W200" s="80"/>
      <c r="X200" s="80"/>
      <c r="Y200" s="80"/>
      <c r="Z200" s="80"/>
      <c r="AA200" s="80"/>
      <c r="AB200" s="80"/>
      <c r="AC200" s="80"/>
      <c r="AD200" s="81"/>
    </row>
    <row r="201" spans="1:30" ht="156" x14ac:dyDescent="0.3">
      <c r="A201" s="76"/>
      <c r="B201" s="76"/>
      <c r="C201" s="76" t="s">
        <v>360</v>
      </c>
      <c r="D201" s="76"/>
      <c r="E201" s="76"/>
      <c r="F201" s="76"/>
      <c r="G201" s="76"/>
      <c r="H201" s="77"/>
      <c r="I201" s="76"/>
      <c r="J201" s="76"/>
      <c r="K201" s="76" t="s">
        <v>413</v>
      </c>
      <c r="L201" s="76" t="s">
        <v>1201</v>
      </c>
      <c r="M201" s="76"/>
      <c r="N201" s="76"/>
      <c r="O201" s="76" t="s">
        <v>1205</v>
      </c>
      <c r="P201" s="76" t="s">
        <v>334</v>
      </c>
      <c r="Q201" s="76" t="s">
        <v>1208</v>
      </c>
      <c r="R201" s="79"/>
      <c r="S201" s="83">
        <v>8000000000</v>
      </c>
      <c r="T201" s="84"/>
      <c r="U201" s="80" t="s">
        <v>1209</v>
      </c>
      <c r="V201" s="76" t="s">
        <v>607</v>
      </c>
      <c r="W201" s="80" t="s">
        <v>1210</v>
      </c>
      <c r="X201" s="80"/>
      <c r="Y201" s="80"/>
      <c r="Z201" s="80"/>
      <c r="AA201" s="80"/>
      <c r="AB201" s="80"/>
      <c r="AC201" s="80"/>
      <c r="AD201" s="81"/>
    </row>
    <row r="202" spans="1:30" ht="249.6" x14ac:dyDescent="0.3">
      <c r="A202" s="76" t="s">
        <v>360</v>
      </c>
      <c r="B202" s="76"/>
      <c r="C202" s="76"/>
      <c r="D202" s="76"/>
      <c r="E202" s="76"/>
      <c r="F202" s="76"/>
      <c r="G202" s="76" t="s">
        <v>360</v>
      </c>
      <c r="H202" s="77"/>
      <c r="I202" s="76"/>
      <c r="J202" s="76"/>
      <c r="K202" s="76" t="s">
        <v>413</v>
      </c>
      <c r="L202" s="76" t="s">
        <v>1201</v>
      </c>
      <c r="M202" s="76"/>
      <c r="N202" s="76"/>
      <c r="O202" s="76" t="s">
        <v>1205</v>
      </c>
      <c r="P202" s="76" t="s">
        <v>334</v>
      </c>
      <c r="Q202" s="76" t="s">
        <v>1211</v>
      </c>
      <c r="R202" s="79" t="s">
        <v>388</v>
      </c>
      <c r="S202" s="83">
        <v>1000000000</v>
      </c>
      <c r="T202" s="76" t="s">
        <v>491</v>
      </c>
      <c r="U202" s="80" t="s">
        <v>1212</v>
      </c>
      <c r="V202" s="76"/>
      <c r="W202" s="80"/>
      <c r="X202" s="80" t="s">
        <v>596</v>
      </c>
      <c r="Y202" s="80" t="s">
        <v>1213</v>
      </c>
      <c r="Z202" s="82">
        <v>0.02</v>
      </c>
      <c r="AA202" s="80"/>
      <c r="AB202" s="80"/>
      <c r="AC202" s="80"/>
      <c r="AD202" s="81" t="s">
        <v>1214</v>
      </c>
    </row>
    <row r="203" spans="1:30" ht="280.8" x14ac:dyDescent="0.3">
      <c r="A203" s="76"/>
      <c r="B203" s="76"/>
      <c r="C203" s="76" t="s">
        <v>360</v>
      </c>
      <c r="D203" s="76" t="s">
        <v>360</v>
      </c>
      <c r="E203" s="76"/>
      <c r="F203" s="76"/>
      <c r="G203" s="76"/>
      <c r="H203" s="77"/>
      <c r="I203" s="76" t="s">
        <v>361</v>
      </c>
      <c r="J203" s="76" t="s">
        <v>362</v>
      </c>
      <c r="K203" s="76" t="s">
        <v>363</v>
      </c>
      <c r="L203" s="76" t="s">
        <v>364</v>
      </c>
      <c r="M203" s="76" t="s">
        <v>423</v>
      </c>
      <c r="N203" s="76" t="s">
        <v>1215</v>
      </c>
      <c r="O203" s="76" t="s">
        <v>367</v>
      </c>
      <c r="P203" s="76" t="s">
        <v>425</v>
      </c>
      <c r="Q203" s="79" t="s">
        <v>426</v>
      </c>
      <c r="R203" s="79" t="s">
        <v>426</v>
      </c>
      <c r="S203" s="78">
        <v>0</v>
      </c>
      <c r="T203" s="79" t="s">
        <v>426</v>
      </c>
      <c r="U203" s="80" t="s">
        <v>1216</v>
      </c>
      <c r="V203" s="76" t="s">
        <v>428</v>
      </c>
      <c r="W203" s="80"/>
      <c r="X203" s="80"/>
      <c r="Y203" s="80"/>
      <c r="Z203" s="80"/>
      <c r="AA203" s="80"/>
      <c r="AB203" s="80"/>
      <c r="AC203" s="80"/>
      <c r="AD203" s="81"/>
    </row>
    <row r="204" spans="1:30" ht="78" x14ac:dyDescent="0.3">
      <c r="A204" s="76"/>
      <c r="B204" s="76"/>
      <c r="C204" s="76" t="s">
        <v>360</v>
      </c>
      <c r="D204" s="76" t="s">
        <v>360</v>
      </c>
      <c r="E204" s="76"/>
      <c r="F204" s="76"/>
      <c r="G204" s="76"/>
      <c r="H204" s="77"/>
      <c r="I204" s="76" t="s">
        <v>361</v>
      </c>
      <c r="J204" s="76" t="s">
        <v>362</v>
      </c>
      <c r="K204" s="76" t="s">
        <v>363</v>
      </c>
      <c r="L204" s="76" t="s">
        <v>364</v>
      </c>
      <c r="M204" s="76" t="s">
        <v>423</v>
      </c>
      <c r="N204" s="76" t="s">
        <v>1217</v>
      </c>
      <c r="O204" s="76" t="s">
        <v>367</v>
      </c>
      <c r="P204" s="76" t="s">
        <v>425</v>
      </c>
      <c r="Q204" s="79" t="s">
        <v>426</v>
      </c>
      <c r="R204" s="79" t="s">
        <v>426</v>
      </c>
      <c r="S204" s="78">
        <v>0</v>
      </c>
      <c r="T204" s="79" t="s">
        <v>426</v>
      </c>
      <c r="U204" s="80" t="s">
        <v>1218</v>
      </c>
      <c r="V204" s="76" t="s">
        <v>428</v>
      </c>
      <c r="W204" s="80"/>
      <c r="X204" s="80"/>
      <c r="Y204" s="80"/>
      <c r="Z204" s="80"/>
      <c r="AA204" s="80"/>
      <c r="AB204" s="80"/>
      <c r="AC204" s="80"/>
      <c r="AD204" s="81"/>
    </row>
    <row r="205" spans="1:30" ht="409.6" x14ac:dyDescent="0.3">
      <c r="A205" s="76"/>
      <c r="B205" s="76"/>
      <c r="C205" s="76" t="s">
        <v>360</v>
      </c>
      <c r="D205" s="76" t="s">
        <v>360</v>
      </c>
      <c r="E205" s="76"/>
      <c r="F205" s="76"/>
      <c r="G205" s="76"/>
      <c r="H205" s="77"/>
      <c r="I205" s="76" t="s">
        <v>361</v>
      </c>
      <c r="J205" s="76" t="s">
        <v>362</v>
      </c>
      <c r="K205" s="76" t="s">
        <v>363</v>
      </c>
      <c r="L205" s="76" t="s">
        <v>364</v>
      </c>
      <c r="M205" s="76" t="s">
        <v>423</v>
      </c>
      <c r="N205" s="76" t="s">
        <v>1219</v>
      </c>
      <c r="O205" s="76" t="s">
        <v>367</v>
      </c>
      <c r="P205" s="76" t="s">
        <v>425</v>
      </c>
      <c r="Q205" s="76" t="s">
        <v>1220</v>
      </c>
      <c r="R205" s="79" t="s">
        <v>426</v>
      </c>
      <c r="S205" s="78">
        <v>0</v>
      </c>
      <c r="T205" s="79" t="s">
        <v>426</v>
      </c>
      <c r="U205" s="80" t="s">
        <v>1221</v>
      </c>
      <c r="V205" s="76" t="s">
        <v>428</v>
      </c>
      <c r="W205" s="80"/>
      <c r="X205" s="80"/>
      <c r="Y205" s="80"/>
      <c r="Z205" s="80"/>
      <c r="AA205" s="80"/>
      <c r="AB205" s="80"/>
      <c r="AC205" s="80"/>
      <c r="AD205" s="81" t="s">
        <v>1222</v>
      </c>
    </row>
    <row r="206" spans="1:30" ht="78" x14ac:dyDescent="0.3">
      <c r="A206" s="76"/>
      <c r="B206" s="76"/>
      <c r="C206" s="76" t="s">
        <v>360</v>
      </c>
      <c r="D206" s="76"/>
      <c r="E206" s="76"/>
      <c r="F206" s="76"/>
      <c r="G206" s="76"/>
      <c r="H206" s="77"/>
      <c r="I206" s="76" t="s">
        <v>361</v>
      </c>
      <c r="J206" s="76" t="s">
        <v>362</v>
      </c>
      <c r="K206" s="76" t="s">
        <v>363</v>
      </c>
      <c r="L206" s="76" t="s">
        <v>364</v>
      </c>
      <c r="M206" s="76" t="s">
        <v>423</v>
      </c>
      <c r="N206" s="76" t="s">
        <v>1223</v>
      </c>
      <c r="O206" s="76" t="s">
        <v>367</v>
      </c>
      <c r="P206" s="76" t="s">
        <v>334</v>
      </c>
      <c r="Q206" s="76"/>
      <c r="R206" s="76" t="s">
        <v>369</v>
      </c>
      <c r="S206" s="78">
        <f>SUM(110000000+1120000000+114000000+116000000+118000000)</f>
        <v>1578000000</v>
      </c>
      <c r="T206" s="76"/>
      <c r="U206" s="80" t="s">
        <v>1224</v>
      </c>
      <c r="V206" s="76" t="s">
        <v>607</v>
      </c>
      <c r="W206" s="80" t="s">
        <v>1225</v>
      </c>
      <c r="X206" s="80"/>
      <c r="Y206" s="80"/>
      <c r="Z206" s="80"/>
      <c r="AA206" s="76" t="s">
        <v>374</v>
      </c>
      <c r="AB206" s="80" t="s">
        <v>504</v>
      </c>
      <c r="AC206" s="80"/>
      <c r="AD206" s="81"/>
    </row>
    <row r="207" spans="1:30" ht="409.6" x14ac:dyDescent="0.3">
      <c r="A207" s="76"/>
      <c r="B207" s="76"/>
      <c r="C207" s="76" t="s">
        <v>360</v>
      </c>
      <c r="D207" s="76"/>
      <c r="E207" s="76"/>
      <c r="F207" s="76"/>
      <c r="G207" s="76"/>
      <c r="H207" s="77"/>
      <c r="I207" s="76" t="s">
        <v>361</v>
      </c>
      <c r="J207" s="76" t="s">
        <v>362</v>
      </c>
      <c r="K207" s="76" t="s">
        <v>363</v>
      </c>
      <c r="L207" s="76" t="s">
        <v>364</v>
      </c>
      <c r="M207" s="76" t="s">
        <v>365</v>
      </c>
      <c r="N207" s="76" t="s">
        <v>1226</v>
      </c>
      <c r="O207" s="76" t="s">
        <v>367</v>
      </c>
      <c r="P207" s="76" t="s">
        <v>334</v>
      </c>
      <c r="Q207" s="76"/>
      <c r="R207" s="76" t="s">
        <v>369</v>
      </c>
      <c r="S207" s="78">
        <f>SUM(300000000+400000000+500000000+600000000+700000000)</f>
        <v>2500000000</v>
      </c>
      <c r="T207" s="79">
        <v>46295</v>
      </c>
      <c r="U207" s="80" t="s">
        <v>1227</v>
      </c>
      <c r="V207" s="76" t="s">
        <v>371</v>
      </c>
      <c r="W207" s="80"/>
      <c r="X207" s="80" t="s">
        <v>372</v>
      </c>
      <c r="Y207" s="80" t="s">
        <v>1228</v>
      </c>
      <c r="Z207" s="80"/>
      <c r="AA207" s="76" t="s">
        <v>374</v>
      </c>
      <c r="AB207" s="80" t="s">
        <v>1229</v>
      </c>
      <c r="AC207" s="80"/>
      <c r="AD207" s="81"/>
    </row>
    <row r="208" spans="1:30" ht="62.4" x14ac:dyDescent="0.3">
      <c r="A208" s="76"/>
      <c r="B208" s="76"/>
      <c r="C208" s="76" t="s">
        <v>360</v>
      </c>
      <c r="D208" s="76"/>
      <c r="E208" s="76"/>
      <c r="F208" s="76"/>
      <c r="G208" s="76"/>
      <c r="H208" s="77"/>
      <c r="I208" s="76" t="s">
        <v>361</v>
      </c>
      <c r="J208" s="76" t="s">
        <v>362</v>
      </c>
      <c r="K208" s="76" t="s">
        <v>363</v>
      </c>
      <c r="L208" s="76" t="s">
        <v>564</v>
      </c>
      <c r="M208" s="76"/>
      <c r="N208" s="76" t="s">
        <v>1230</v>
      </c>
      <c r="O208" s="76" t="s">
        <v>367</v>
      </c>
      <c r="P208" s="76" t="s">
        <v>631</v>
      </c>
      <c r="Q208" s="76"/>
      <c r="R208" s="76" t="s">
        <v>369</v>
      </c>
      <c r="S208" s="78">
        <f>SUM(15000000*5)</f>
        <v>75000000</v>
      </c>
      <c r="T208" s="79">
        <v>46295</v>
      </c>
      <c r="U208" s="80" t="s">
        <v>1231</v>
      </c>
      <c r="V208" s="76" t="s">
        <v>607</v>
      </c>
      <c r="W208" s="80"/>
      <c r="X208" s="80"/>
      <c r="Y208" s="80"/>
      <c r="Z208" s="80"/>
      <c r="AA208" s="80"/>
      <c r="AB208" s="80"/>
      <c r="AC208" s="80"/>
      <c r="AD208" s="81"/>
    </row>
    <row r="209" spans="1:30" ht="15.6" x14ac:dyDescent="0.3">
      <c r="A209" s="76"/>
      <c r="B209" s="76"/>
      <c r="C209" s="76" t="s">
        <v>457</v>
      </c>
      <c r="D209" s="76"/>
      <c r="E209" s="76"/>
      <c r="F209" s="76"/>
      <c r="G209" s="76"/>
      <c r="H209" s="77"/>
      <c r="I209" s="76" t="s">
        <v>361</v>
      </c>
      <c r="J209" s="76" t="s">
        <v>362</v>
      </c>
      <c r="K209" s="76" t="s">
        <v>576</v>
      </c>
      <c r="L209" s="76" t="s">
        <v>577</v>
      </c>
      <c r="M209" s="76" t="s">
        <v>1232</v>
      </c>
      <c r="N209" s="76" t="s">
        <v>1233</v>
      </c>
      <c r="O209" s="76" t="s">
        <v>367</v>
      </c>
      <c r="P209" s="76" t="s">
        <v>334</v>
      </c>
      <c r="Q209" s="76"/>
      <c r="R209" s="76" t="s">
        <v>426</v>
      </c>
      <c r="S209" s="94">
        <v>0</v>
      </c>
      <c r="T209" s="76" t="s">
        <v>426</v>
      </c>
      <c r="U209" s="80"/>
      <c r="V209" s="76" t="s">
        <v>607</v>
      </c>
      <c r="W209" s="80"/>
      <c r="X209" s="80"/>
      <c r="Y209" s="80"/>
      <c r="Z209" s="80"/>
      <c r="AA209" s="80"/>
      <c r="AB209" s="80"/>
      <c r="AC209" s="80"/>
      <c r="AD209" s="81"/>
    </row>
    <row r="210" spans="1:30" ht="187.2" x14ac:dyDescent="0.3">
      <c r="A210" s="76"/>
      <c r="B210" s="76"/>
      <c r="C210" s="76" t="s">
        <v>360</v>
      </c>
      <c r="D210" s="76" t="s">
        <v>360</v>
      </c>
      <c r="E210" s="76"/>
      <c r="F210" s="76"/>
      <c r="G210" s="76"/>
      <c r="H210" s="77"/>
      <c r="I210" s="76" t="s">
        <v>361</v>
      </c>
      <c r="J210" s="76" t="s">
        <v>362</v>
      </c>
      <c r="K210" s="76" t="s">
        <v>576</v>
      </c>
      <c r="L210" s="76" t="s">
        <v>577</v>
      </c>
      <c r="M210" s="76" t="s">
        <v>578</v>
      </c>
      <c r="N210" s="76" t="s">
        <v>1234</v>
      </c>
      <c r="O210" s="76" t="s">
        <v>367</v>
      </c>
      <c r="P210" s="76" t="s">
        <v>425</v>
      </c>
      <c r="Q210" s="76" t="s">
        <v>1235</v>
      </c>
      <c r="R210" s="76" t="s">
        <v>369</v>
      </c>
      <c r="S210" s="78">
        <f>SUM((800000000*5)+1000000000)</f>
        <v>5000000000</v>
      </c>
      <c r="T210" s="79">
        <v>46295</v>
      </c>
      <c r="U210" s="80" t="s">
        <v>1236</v>
      </c>
      <c r="V210" s="76" t="s">
        <v>371</v>
      </c>
      <c r="W210" s="80" t="s">
        <v>582</v>
      </c>
      <c r="X210" s="80" t="s">
        <v>382</v>
      </c>
      <c r="Y210" s="80"/>
      <c r="Z210" s="82">
        <v>0.02</v>
      </c>
      <c r="AA210" s="76" t="s">
        <v>374</v>
      </c>
      <c r="AB210" s="80" t="s">
        <v>589</v>
      </c>
      <c r="AC210" s="80"/>
      <c r="AD210" s="81"/>
    </row>
    <row r="211" spans="1:30" ht="78" x14ac:dyDescent="0.3">
      <c r="A211" s="76"/>
      <c r="B211" s="76"/>
      <c r="C211" s="76" t="s">
        <v>360</v>
      </c>
      <c r="D211" s="76"/>
      <c r="E211" s="76"/>
      <c r="F211" s="76"/>
      <c r="G211" s="76"/>
      <c r="H211" s="77"/>
      <c r="I211" s="76" t="s">
        <v>361</v>
      </c>
      <c r="J211" s="76" t="s">
        <v>362</v>
      </c>
      <c r="K211" s="76" t="s">
        <v>635</v>
      </c>
      <c r="L211" s="76" t="s">
        <v>618</v>
      </c>
      <c r="M211" s="76" t="s">
        <v>609</v>
      </c>
      <c r="N211" s="76" t="s">
        <v>1237</v>
      </c>
      <c r="O211" s="76" t="s">
        <v>367</v>
      </c>
      <c r="P211" s="76" t="s">
        <v>334</v>
      </c>
      <c r="Q211" s="76"/>
      <c r="R211" s="76" t="s">
        <v>426</v>
      </c>
      <c r="S211" s="94">
        <v>0</v>
      </c>
      <c r="T211" s="76" t="s">
        <v>426</v>
      </c>
      <c r="U211" s="80" t="s">
        <v>1238</v>
      </c>
      <c r="V211" s="76" t="s">
        <v>638</v>
      </c>
      <c r="W211" s="80"/>
      <c r="X211" s="80"/>
      <c r="Y211" s="80"/>
      <c r="Z211" s="82"/>
      <c r="AA211" s="80"/>
      <c r="AB211" s="82"/>
      <c r="AC211" s="80"/>
      <c r="AD211" s="81"/>
    </row>
    <row r="212" spans="1:30" ht="62.4" x14ac:dyDescent="0.3">
      <c r="A212" s="76"/>
      <c r="B212" s="76"/>
      <c r="C212" s="76" t="s">
        <v>360</v>
      </c>
      <c r="D212" s="76"/>
      <c r="E212" s="76"/>
      <c r="F212" s="76"/>
      <c r="G212" s="76"/>
      <c r="H212" s="77"/>
      <c r="I212" s="76" t="s">
        <v>361</v>
      </c>
      <c r="J212" s="76" t="s">
        <v>362</v>
      </c>
      <c r="K212" s="76" t="s">
        <v>635</v>
      </c>
      <c r="L212" s="76" t="s">
        <v>618</v>
      </c>
      <c r="M212" s="76" t="s">
        <v>609</v>
      </c>
      <c r="N212" s="76" t="s">
        <v>1239</v>
      </c>
      <c r="O212" s="76"/>
      <c r="P212" s="76" t="s">
        <v>334</v>
      </c>
      <c r="Q212" s="76"/>
      <c r="R212" s="76" t="s">
        <v>426</v>
      </c>
      <c r="S212" s="94">
        <v>0</v>
      </c>
      <c r="T212" s="76" t="s">
        <v>426</v>
      </c>
      <c r="U212" s="80" t="s">
        <v>1240</v>
      </c>
      <c r="V212" s="76" t="s">
        <v>638</v>
      </c>
      <c r="W212" s="80"/>
      <c r="X212" s="80"/>
      <c r="Y212" s="80"/>
      <c r="Z212" s="82"/>
      <c r="AA212" s="80"/>
      <c r="AB212" s="82"/>
      <c r="AC212" s="80"/>
      <c r="AD212" s="81"/>
    </row>
    <row r="213" spans="1:30" ht="218.4" x14ac:dyDescent="0.3">
      <c r="A213" s="76"/>
      <c r="B213" s="76"/>
      <c r="C213" s="76" t="s">
        <v>360</v>
      </c>
      <c r="D213" s="76"/>
      <c r="E213" s="76"/>
      <c r="F213" s="76"/>
      <c r="G213" s="76"/>
      <c r="H213" s="77"/>
      <c r="I213" s="76" t="s">
        <v>361</v>
      </c>
      <c r="J213" s="76" t="s">
        <v>362</v>
      </c>
      <c r="K213" s="76" t="s">
        <v>635</v>
      </c>
      <c r="L213" s="76" t="s">
        <v>618</v>
      </c>
      <c r="M213" s="76" t="s">
        <v>609</v>
      </c>
      <c r="N213" s="76" t="s">
        <v>1241</v>
      </c>
      <c r="O213" s="76"/>
      <c r="P213" s="76"/>
      <c r="Q213" s="76"/>
      <c r="R213" s="76" t="s">
        <v>426</v>
      </c>
      <c r="S213" s="94">
        <v>0</v>
      </c>
      <c r="T213" s="76" t="s">
        <v>426</v>
      </c>
      <c r="U213" s="80" t="s">
        <v>1242</v>
      </c>
      <c r="V213" s="76" t="s">
        <v>638</v>
      </c>
      <c r="W213" s="80"/>
      <c r="X213" s="80"/>
      <c r="Y213" s="80"/>
      <c r="Z213" s="82"/>
      <c r="AA213" s="80"/>
      <c r="AB213" s="82" t="s">
        <v>1243</v>
      </c>
      <c r="AC213" s="80"/>
      <c r="AD213" s="81"/>
    </row>
    <row r="214" spans="1:30" ht="265.2" x14ac:dyDescent="0.3">
      <c r="A214" s="76" t="s">
        <v>360</v>
      </c>
      <c r="B214" s="76" t="s">
        <v>360</v>
      </c>
      <c r="C214" s="76"/>
      <c r="D214" s="76" t="s">
        <v>360</v>
      </c>
      <c r="E214" s="76"/>
      <c r="F214" s="76"/>
      <c r="G214" s="76"/>
      <c r="H214" s="77"/>
      <c r="I214" s="76" t="s">
        <v>361</v>
      </c>
      <c r="J214" s="76" t="s">
        <v>434</v>
      </c>
      <c r="K214" s="76" t="s">
        <v>384</v>
      </c>
      <c r="L214" s="76" t="s">
        <v>641</v>
      </c>
      <c r="M214" s="76" t="s">
        <v>642</v>
      </c>
      <c r="N214" s="76" t="s">
        <v>654</v>
      </c>
      <c r="O214" s="76" t="s">
        <v>644</v>
      </c>
      <c r="P214" s="76" t="s">
        <v>1244</v>
      </c>
      <c r="Q214" s="76" t="s">
        <v>1245</v>
      </c>
      <c r="R214" s="76" t="s">
        <v>388</v>
      </c>
      <c r="S214" s="83">
        <f>SUM(1000000000*5)</f>
        <v>5000000000</v>
      </c>
      <c r="T214" s="79">
        <v>46295</v>
      </c>
      <c r="U214" s="80" t="s">
        <v>1246</v>
      </c>
      <c r="V214" s="76" t="s">
        <v>371</v>
      </c>
      <c r="W214" s="80"/>
      <c r="X214" s="80"/>
      <c r="Y214" s="80"/>
      <c r="Z214" s="80"/>
      <c r="AA214" s="80"/>
      <c r="AB214" s="80"/>
      <c r="AC214" s="80"/>
      <c r="AD214" s="81" t="s">
        <v>1247</v>
      </c>
    </row>
    <row r="215" spans="1:30" ht="62.4" x14ac:dyDescent="0.3">
      <c r="A215" s="76"/>
      <c r="B215" s="76"/>
      <c r="C215" s="76"/>
      <c r="D215" s="76"/>
      <c r="E215" s="76"/>
      <c r="F215" s="76"/>
      <c r="G215" s="76" t="s">
        <v>360</v>
      </c>
      <c r="H215" s="77"/>
      <c r="I215" s="76" t="s">
        <v>361</v>
      </c>
      <c r="J215" s="76" t="s">
        <v>434</v>
      </c>
      <c r="K215" s="76" t="s">
        <v>384</v>
      </c>
      <c r="L215" s="76" t="s">
        <v>732</v>
      </c>
      <c r="M215" s="76"/>
      <c r="N215" s="76" t="s">
        <v>1248</v>
      </c>
      <c r="O215" s="76" t="s">
        <v>1249</v>
      </c>
      <c r="P215" s="76" t="s">
        <v>735</v>
      </c>
      <c r="Q215" s="76" t="s">
        <v>426</v>
      </c>
      <c r="R215" s="76" t="s">
        <v>426</v>
      </c>
      <c r="S215" s="76" t="s">
        <v>426</v>
      </c>
      <c r="T215" s="76" t="s">
        <v>426</v>
      </c>
      <c r="U215" s="80" t="s">
        <v>1250</v>
      </c>
      <c r="V215" s="76" t="s">
        <v>426</v>
      </c>
      <c r="W215" s="80" t="s">
        <v>426</v>
      </c>
      <c r="X215" s="80" t="s">
        <v>426</v>
      </c>
      <c r="Y215" s="80" t="s">
        <v>426</v>
      </c>
      <c r="Z215" s="80" t="s">
        <v>426</v>
      </c>
      <c r="AA215" s="80" t="s">
        <v>426</v>
      </c>
      <c r="AB215" s="80" t="s">
        <v>426</v>
      </c>
      <c r="AC215" s="80"/>
      <c r="AD215" s="81"/>
    </row>
    <row r="216" spans="1:30" ht="78" x14ac:dyDescent="0.3">
      <c r="A216" s="76"/>
      <c r="B216" s="76"/>
      <c r="C216" s="76"/>
      <c r="D216" s="76"/>
      <c r="E216" s="76" t="s">
        <v>360</v>
      </c>
      <c r="F216" s="76"/>
      <c r="G216" s="76"/>
      <c r="H216" s="77"/>
      <c r="I216" s="76" t="s">
        <v>361</v>
      </c>
      <c r="J216" s="76" t="s">
        <v>434</v>
      </c>
      <c r="K216" s="76" t="s">
        <v>384</v>
      </c>
      <c r="L216" s="76" t="s">
        <v>732</v>
      </c>
      <c r="M216" s="76"/>
      <c r="N216" s="76" t="s">
        <v>1251</v>
      </c>
      <c r="O216" s="76" t="s">
        <v>644</v>
      </c>
      <c r="P216" s="76" t="s">
        <v>1252</v>
      </c>
      <c r="Q216" s="76" t="s">
        <v>426</v>
      </c>
      <c r="R216" s="76" t="s">
        <v>426</v>
      </c>
      <c r="S216" s="76" t="s">
        <v>426</v>
      </c>
      <c r="T216" s="76" t="s">
        <v>426</v>
      </c>
      <c r="U216" s="80" t="s">
        <v>1253</v>
      </c>
      <c r="V216" s="76"/>
      <c r="W216" s="80"/>
      <c r="X216" s="80"/>
      <c r="Y216" s="80"/>
      <c r="Z216" s="80"/>
      <c r="AA216" s="80"/>
      <c r="AB216" s="80"/>
      <c r="AC216" s="80"/>
      <c r="AD216" s="81"/>
    </row>
    <row r="217" spans="1:30" ht="218.4" x14ac:dyDescent="0.3">
      <c r="A217" s="76"/>
      <c r="B217" s="76" t="s">
        <v>360</v>
      </c>
      <c r="C217" s="76"/>
      <c r="D217" s="76"/>
      <c r="E217" s="76"/>
      <c r="F217" s="76"/>
      <c r="G217" s="76" t="s">
        <v>360</v>
      </c>
      <c r="H217" s="77"/>
      <c r="I217" s="76" t="s">
        <v>361</v>
      </c>
      <c r="J217" s="76" t="s">
        <v>434</v>
      </c>
      <c r="K217" s="76" t="s">
        <v>384</v>
      </c>
      <c r="L217" s="76" t="s">
        <v>786</v>
      </c>
      <c r="M217" s="76" t="s">
        <v>787</v>
      </c>
      <c r="N217" s="76" t="s">
        <v>1254</v>
      </c>
      <c r="O217" s="76" t="s">
        <v>426</v>
      </c>
      <c r="P217" s="76" t="s">
        <v>789</v>
      </c>
      <c r="Q217" s="76" t="s">
        <v>426</v>
      </c>
      <c r="R217" s="76" t="s">
        <v>426</v>
      </c>
      <c r="S217" s="76" t="s">
        <v>426</v>
      </c>
      <c r="T217" s="76" t="s">
        <v>426</v>
      </c>
      <c r="U217" s="80" t="s">
        <v>1255</v>
      </c>
      <c r="V217" s="76" t="s">
        <v>371</v>
      </c>
      <c r="W217" s="80" t="s">
        <v>426</v>
      </c>
      <c r="X217" s="80" t="s">
        <v>426</v>
      </c>
      <c r="Y217" s="80" t="s">
        <v>426</v>
      </c>
      <c r="Z217" s="80" t="s">
        <v>426</v>
      </c>
      <c r="AA217" s="80" t="s">
        <v>426</v>
      </c>
      <c r="AB217" s="80" t="s">
        <v>426</v>
      </c>
      <c r="AC217" s="80" t="s">
        <v>426</v>
      </c>
      <c r="AD217" s="81" t="s">
        <v>426</v>
      </c>
    </row>
    <row r="218" spans="1:30" ht="124.8" x14ac:dyDescent="0.3">
      <c r="A218" s="76"/>
      <c r="B218" s="76" t="s">
        <v>360</v>
      </c>
      <c r="C218" s="76"/>
      <c r="D218" s="76"/>
      <c r="E218" s="76"/>
      <c r="F218" s="76"/>
      <c r="G218" s="76" t="s">
        <v>360</v>
      </c>
      <c r="H218" s="77"/>
      <c r="I218" s="76" t="s">
        <v>361</v>
      </c>
      <c r="J218" s="76" t="s">
        <v>434</v>
      </c>
      <c r="K218" s="76" t="s">
        <v>384</v>
      </c>
      <c r="L218" s="76" t="s">
        <v>786</v>
      </c>
      <c r="M218" s="76" t="s">
        <v>787</v>
      </c>
      <c r="N218" s="76" t="s">
        <v>1256</v>
      </c>
      <c r="O218" s="76" t="s">
        <v>644</v>
      </c>
      <c r="P218" s="76" t="s">
        <v>789</v>
      </c>
      <c r="Q218" s="76" t="s">
        <v>1257</v>
      </c>
      <c r="R218" s="76" t="s">
        <v>388</v>
      </c>
      <c r="S218" s="83">
        <v>100000000</v>
      </c>
      <c r="T218" s="79">
        <v>46295</v>
      </c>
      <c r="U218" s="80" t="s">
        <v>1258</v>
      </c>
      <c r="V218" s="76" t="s">
        <v>428</v>
      </c>
      <c r="W218" s="80"/>
      <c r="X218" s="80"/>
      <c r="Y218" s="80"/>
      <c r="Z218" s="80"/>
      <c r="AA218" s="80"/>
      <c r="AB218" s="80"/>
      <c r="AC218" s="80"/>
      <c r="AD218" s="81"/>
    </row>
    <row r="219" spans="1:30" ht="109.2" x14ac:dyDescent="0.3">
      <c r="A219" s="76"/>
      <c r="B219" s="76" t="s">
        <v>360</v>
      </c>
      <c r="C219" s="76"/>
      <c r="D219" s="76"/>
      <c r="E219" s="76"/>
      <c r="F219" s="76"/>
      <c r="G219" s="76" t="s">
        <v>360</v>
      </c>
      <c r="H219" s="77"/>
      <c r="I219" s="76" t="s">
        <v>361</v>
      </c>
      <c r="J219" s="76" t="s">
        <v>434</v>
      </c>
      <c r="K219" s="76" t="s">
        <v>384</v>
      </c>
      <c r="L219" s="76" t="s">
        <v>786</v>
      </c>
      <c r="M219" s="76" t="s">
        <v>787</v>
      </c>
      <c r="N219" s="76" t="s">
        <v>1259</v>
      </c>
      <c r="O219" s="76" t="s">
        <v>644</v>
      </c>
      <c r="P219" s="76" t="s">
        <v>789</v>
      </c>
      <c r="Q219" s="76"/>
      <c r="R219" s="76" t="s">
        <v>426</v>
      </c>
      <c r="S219" s="76">
        <v>0</v>
      </c>
      <c r="T219" s="76" t="s">
        <v>426</v>
      </c>
      <c r="U219" s="80" t="s">
        <v>1260</v>
      </c>
      <c r="V219" s="76"/>
      <c r="W219" s="80"/>
      <c r="X219" s="80"/>
      <c r="Y219" s="80"/>
      <c r="Z219" s="80"/>
      <c r="AA219" s="80"/>
      <c r="AB219" s="80"/>
      <c r="AC219" s="80"/>
      <c r="AD219" s="81"/>
    </row>
    <row r="220" spans="1:30" ht="46.8" x14ac:dyDescent="0.3">
      <c r="A220" s="76"/>
      <c r="B220" s="76" t="s">
        <v>360</v>
      </c>
      <c r="C220" s="76"/>
      <c r="D220" s="76"/>
      <c r="E220" s="76"/>
      <c r="F220" s="76"/>
      <c r="G220" s="76"/>
      <c r="H220" s="77"/>
      <c r="I220" s="76" t="s">
        <v>361</v>
      </c>
      <c r="J220" s="76" t="s">
        <v>434</v>
      </c>
      <c r="K220" s="76" t="s">
        <v>384</v>
      </c>
      <c r="L220" s="76" t="s">
        <v>786</v>
      </c>
      <c r="M220" s="76" t="s">
        <v>836</v>
      </c>
      <c r="N220" s="76" t="s">
        <v>1261</v>
      </c>
      <c r="O220" s="76" t="s">
        <v>644</v>
      </c>
      <c r="P220" s="76" t="s">
        <v>838</v>
      </c>
      <c r="Q220" s="76"/>
      <c r="R220" s="76" t="s">
        <v>675</v>
      </c>
      <c r="S220" s="83">
        <v>125000000</v>
      </c>
      <c r="T220" s="76" t="s">
        <v>491</v>
      </c>
      <c r="U220" s="80" t="s">
        <v>1262</v>
      </c>
      <c r="V220" s="76" t="s">
        <v>428</v>
      </c>
      <c r="W220" s="80"/>
      <c r="X220" s="80"/>
      <c r="Y220" s="80"/>
      <c r="Z220" s="80"/>
      <c r="AA220" s="80"/>
      <c r="AB220" s="80"/>
      <c r="AC220" s="80"/>
      <c r="AD220" s="81"/>
    </row>
    <row r="221" spans="1:30" ht="31.2" x14ac:dyDescent="0.3">
      <c r="A221" s="76"/>
      <c r="B221" s="76" t="s">
        <v>360</v>
      </c>
      <c r="C221" s="76"/>
      <c r="D221" s="76"/>
      <c r="E221" s="76"/>
      <c r="F221" s="76"/>
      <c r="G221" s="76"/>
      <c r="H221" s="77"/>
      <c r="I221" s="76" t="s">
        <v>361</v>
      </c>
      <c r="J221" s="76" t="s">
        <v>434</v>
      </c>
      <c r="K221" s="76" t="s">
        <v>384</v>
      </c>
      <c r="L221" s="76" t="s">
        <v>786</v>
      </c>
      <c r="M221" s="76" t="s">
        <v>836</v>
      </c>
      <c r="N221" s="76" t="s">
        <v>1263</v>
      </c>
      <c r="O221" s="76" t="s">
        <v>644</v>
      </c>
      <c r="P221" s="76" t="s">
        <v>838</v>
      </c>
      <c r="Q221" s="76"/>
      <c r="R221" s="76" t="s">
        <v>675</v>
      </c>
      <c r="S221" s="83">
        <v>75000000</v>
      </c>
      <c r="T221" s="76" t="s">
        <v>491</v>
      </c>
      <c r="U221" s="80" t="s">
        <v>1264</v>
      </c>
      <c r="V221" s="76" t="s">
        <v>428</v>
      </c>
      <c r="W221" s="80"/>
      <c r="X221" s="80"/>
      <c r="Y221" s="80"/>
      <c r="Z221" s="80"/>
      <c r="AA221" s="80"/>
      <c r="AB221" s="80"/>
      <c r="AC221" s="80"/>
      <c r="AD221" s="81"/>
    </row>
    <row r="222" spans="1:30" ht="124.8" x14ac:dyDescent="0.3">
      <c r="A222" s="76"/>
      <c r="B222" s="76" t="s">
        <v>360</v>
      </c>
      <c r="C222" s="76"/>
      <c r="D222" s="76"/>
      <c r="E222" s="76"/>
      <c r="F222" s="76"/>
      <c r="G222" s="76"/>
      <c r="H222" s="77"/>
      <c r="I222" s="76" t="s">
        <v>361</v>
      </c>
      <c r="J222" s="76" t="s">
        <v>434</v>
      </c>
      <c r="K222" s="76" t="s">
        <v>384</v>
      </c>
      <c r="L222" s="76" t="s">
        <v>786</v>
      </c>
      <c r="M222" s="76" t="s">
        <v>378</v>
      </c>
      <c r="N222" s="76" t="s">
        <v>1265</v>
      </c>
      <c r="O222" s="76" t="s">
        <v>644</v>
      </c>
      <c r="P222" s="76" t="s">
        <v>1266</v>
      </c>
      <c r="Q222" s="76"/>
      <c r="R222" s="76" t="s">
        <v>426</v>
      </c>
      <c r="S222" s="76" t="s">
        <v>426</v>
      </c>
      <c r="T222" s="76" t="s">
        <v>426</v>
      </c>
      <c r="U222" s="80" t="s">
        <v>1267</v>
      </c>
      <c r="V222" s="76" t="s">
        <v>428</v>
      </c>
      <c r="W222" s="80" t="s">
        <v>426</v>
      </c>
      <c r="X222" s="80" t="s">
        <v>426</v>
      </c>
      <c r="Y222" s="80" t="s">
        <v>426</v>
      </c>
      <c r="Z222" s="80" t="s">
        <v>426</v>
      </c>
      <c r="AA222" s="80" t="s">
        <v>426</v>
      </c>
      <c r="AB222" s="80" t="s">
        <v>426</v>
      </c>
      <c r="AC222" s="80"/>
      <c r="AD222" s="81"/>
    </row>
    <row r="223" spans="1:30" ht="31.2" x14ac:dyDescent="0.3">
      <c r="A223" s="76"/>
      <c r="B223" s="76" t="s">
        <v>360</v>
      </c>
      <c r="C223" s="76"/>
      <c r="D223" s="76"/>
      <c r="E223" s="76"/>
      <c r="F223" s="76"/>
      <c r="G223" s="76"/>
      <c r="H223" s="77"/>
      <c r="I223" s="76" t="s">
        <v>361</v>
      </c>
      <c r="J223" s="76" t="s">
        <v>434</v>
      </c>
      <c r="K223" s="76" t="s">
        <v>384</v>
      </c>
      <c r="L223" s="76" t="s">
        <v>786</v>
      </c>
      <c r="M223" s="76" t="s">
        <v>378</v>
      </c>
      <c r="N223" s="76" t="s">
        <v>1268</v>
      </c>
      <c r="O223" s="76" t="s">
        <v>644</v>
      </c>
      <c r="P223" s="76" t="s">
        <v>333</v>
      </c>
      <c r="Q223" s="76" t="s">
        <v>426</v>
      </c>
      <c r="R223" s="76" t="s">
        <v>426</v>
      </c>
      <c r="S223" s="76" t="s">
        <v>426</v>
      </c>
      <c r="T223" s="76" t="s">
        <v>426</v>
      </c>
      <c r="U223" s="80" t="s">
        <v>1269</v>
      </c>
      <c r="V223" s="76"/>
      <c r="W223" s="80" t="s">
        <v>426</v>
      </c>
      <c r="X223" s="80" t="s">
        <v>426</v>
      </c>
      <c r="Y223" s="80" t="s">
        <v>426</v>
      </c>
      <c r="Z223" s="80" t="s">
        <v>426</v>
      </c>
      <c r="AA223" s="80" t="s">
        <v>426</v>
      </c>
      <c r="AB223" s="80" t="s">
        <v>426</v>
      </c>
      <c r="AC223" s="80"/>
      <c r="AD223" s="81"/>
    </row>
    <row r="224" spans="1:30" ht="124.8" x14ac:dyDescent="0.3">
      <c r="A224" s="76" t="s">
        <v>360</v>
      </c>
      <c r="B224" s="76" t="s">
        <v>360</v>
      </c>
      <c r="C224" s="76" t="s">
        <v>360</v>
      </c>
      <c r="D224" s="76"/>
      <c r="E224" s="76"/>
      <c r="F224" s="76"/>
      <c r="G224" s="76" t="s">
        <v>360</v>
      </c>
      <c r="H224" s="77"/>
      <c r="I224" s="76" t="s">
        <v>361</v>
      </c>
      <c r="J224" s="76" t="s">
        <v>434</v>
      </c>
      <c r="K224" s="76" t="s">
        <v>384</v>
      </c>
      <c r="L224" s="76" t="s">
        <v>1270</v>
      </c>
      <c r="M224" s="76" t="s">
        <v>1271</v>
      </c>
      <c r="N224" s="76" t="s">
        <v>1272</v>
      </c>
      <c r="O224" s="76" t="s">
        <v>644</v>
      </c>
      <c r="P224" s="76" t="s">
        <v>333</v>
      </c>
      <c r="Q224" s="76" t="s">
        <v>426</v>
      </c>
      <c r="R224" s="76" t="s">
        <v>426</v>
      </c>
      <c r="S224" s="76" t="s">
        <v>426</v>
      </c>
      <c r="T224" s="76" t="s">
        <v>426</v>
      </c>
      <c r="U224" s="80" t="s">
        <v>1273</v>
      </c>
      <c r="V224" s="76" t="s">
        <v>428</v>
      </c>
      <c r="W224" s="80" t="s">
        <v>1274</v>
      </c>
      <c r="X224" s="80" t="s">
        <v>426</v>
      </c>
      <c r="Y224" s="80" t="s">
        <v>426</v>
      </c>
      <c r="Z224" s="80" t="s">
        <v>426</v>
      </c>
      <c r="AA224" s="80" t="s">
        <v>426</v>
      </c>
      <c r="AB224" s="80" t="s">
        <v>426</v>
      </c>
      <c r="AC224" s="80"/>
      <c r="AD224" s="81"/>
    </row>
    <row r="225" spans="1:30" ht="249.6" x14ac:dyDescent="0.3">
      <c r="A225" s="76"/>
      <c r="B225" s="76" t="s">
        <v>360</v>
      </c>
      <c r="C225" s="76"/>
      <c r="D225" s="76"/>
      <c r="E225" s="76"/>
      <c r="F225" s="76"/>
      <c r="G225" s="76"/>
      <c r="H225" s="77"/>
      <c r="I225" s="76" t="s">
        <v>361</v>
      </c>
      <c r="J225" s="76" t="s">
        <v>434</v>
      </c>
      <c r="K225" s="76" t="s">
        <v>384</v>
      </c>
      <c r="L225" s="76" t="s">
        <v>1270</v>
      </c>
      <c r="M225" s="76" t="s">
        <v>1275</v>
      </c>
      <c r="N225" s="76" t="s">
        <v>1276</v>
      </c>
      <c r="O225" s="76" t="s">
        <v>1277</v>
      </c>
      <c r="P225" s="76" t="s">
        <v>333</v>
      </c>
      <c r="Q225" s="76" t="s">
        <v>426</v>
      </c>
      <c r="R225" s="76" t="s">
        <v>426</v>
      </c>
      <c r="S225" s="76" t="s">
        <v>426</v>
      </c>
      <c r="T225" s="76" t="s">
        <v>426</v>
      </c>
      <c r="U225" s="80" t="s">
        <v>1278</v>
      </c>
      <c r="V225" s="76"/>
      <c r="W225" s="80"/>
      <c r="X225" s="80"/>
      <c r="Y225" s="80"/>
      <c r="Z225" s="80"/>
      <c r="AA225" s="80"/>
      <c r="AB225" s="80"/>
      <c r="AC225" s="80"/>
      <c r="AD225" s="81"/>
    </row>
    <row r="226" spans="1:30" ht="109.2" x14ac:dyDescent="0.3">
      <c r="A226" s="76" t="s">
        <v>360</v>
      </c>
      <c r="B226" s="76" t="s">
        <v>360</v>
      </c>
      <c r="C226" s="76"/>
      <c r="D226" s="76"/>
      <c r="E226" s="76" t="s">
        <v>360</v>
      </c>
      <c r="F226" s="76"/>
      <c r="G226" s="76"/>
      <c r="H226" s="77"/>
      <c r="I226" s="76" t="s">
        <v>361</v>
      </c>
      <c r="J226" s="76" t="s">
        <v>434</v>
      </c>
      <c r="K226" s="76" t="s">
        <v>384</v>
      </c>
      <c r="L226" s="76" t="s">
        <v>1270</v>
      </c>
      <c r="M226" s="76" t="s">
        <v>1275</v>
      </c>
      <c r="N226" s="76" t="s">
        <v>1279</v>
      </c>
      <c r="O226" s="76" t="s">
        <v>1277</v>
      </c>
      <c r="P226" s="76" t="s">
        <v>1060</v>
      </c>
      <c r="Q226" s="76" t="s">
        <v>426</v>
      </c>
      <c r="R226" s="76" t="s">
        <v>426</v>
      </c>
      <c r="S226" s="76" t="s">
        <v>426</v>
      </c>
      <c r="T226" s="76" t="s">
        <v>426</v>
      </c>
      <c r="U226" s="80" t="s">
        <v>1280</v>
      </c>
      <c r="V226" s="76"/>
      <c r="W226" s="80"/>
      <c r="X226" s="80"/>
      <c r="Y226" s="80"/>
      <c r="Z226" s="80"/>
      <c r="AA226" s="80"/>
      <c r="AB226" s="80"/>
      <c r="AC226" s="80"/>
      <c r="AD226" s="81"/>
    </row>
    <row r="227" spans="1:30" ht="78" x14ac:dyDescent="0.3">
      <c r="A227" s="76"/>
      <c r="B227" s="76" t="s">
        <v>360</v>
      </c>
      <c r="C227" s="76" t="s">
        <v>360</v>
      </c>
      <c r="D227" s="76"/>
      <c r="E227" s="76"/>
      <c r="F227" s="76"/>
      <c r="G227" s="76"/>
      <c r="H227" s="77"/>
      <c r="I227" s="76" t="s">
        <v>361</v>
      </c>
      <c r="J227" s="76" t="s">
        <v>434</v>
      </c>
      <c r="K227" s="76" t="s">
        <v>384</v>
      </c>
      <c r="L227" s="76" t="s">
        <v>1270</v>
      </c>
      <c r="M227" s="76" t="s">
        <v>1275</v>
      </c>
      <c r="N227" s="76" t="s">
        <v>1281</v>
      </c>
      <c r="O227" s="76" t="s">
        <v>1277</v>
      </c>
      <c r="P227" s="76" t="s">
        <v>334</v>
      </c>
      <c r="Q227" s="76" t="s">
        <v>426</v>
      </c>
      <c r="R227" s="76" t="s">
        <v>426</v>
      </c>
      <c r="S227" s="76" t="s">
        <v>426</v>
      </c>
      <c r="T227" s="76" t="s">
        <v>426</v>
      </c>
      <c r="U227" s="80" t="s">
        <v>1282</v>
      </c>
      <c r="V227" s="76"/>
      <c r="W227" s="80"/>
      <c r="X227" s="80"/>
      <c r="Y227" s="80" t="s">
        <v>1283</v>
      </c>
      <c r="Z227" s="80"/>
      <c r="AA227" s="80"/>
      <c r="AB227" s="80"/>
      <c r="AC227" s="80"/>
      <c r="AD227" s="81"/>
    </row>
    <row r="228" spans="1:30" ht="140.4" x14ac:dyDescent="0.3">
      <c r="A228" s="76"/>
      <c r="B228" s="76" t="s">
        <v>360</v>
      </c>
      <c r="C228" s="76"/>
      <c r="D228" s="76"/>
      <c r="E228" s="76"/>
      <c r="F228" s="76"/>
      <c r="G228" s="76"/>
      <c r="H228" s="77"/>
      <c r="I228" s="76" t="s">
        <v>361</v>
      </c>
      <c r="J228" s="76" t="s">
        <v>434</v>
      </c>
      <c r="K228" s="76" t="s">
        <v>384</v>
      </c>
      <c r="L228" s="76" t="s">
        <v>1270</v>
      </c>
      <c r="M228" s="76" t="s">
        <v>1275</v>
      </c>
      <c r="N228" s="76" t="s">
        <v>1284</v>
      </c>
      <c r="O228" s="76" t="s">
        <v>1277</v>
      </c>
      <c r="P228" s="76"/>
      <c r="Q228" s="76" t="s">
        <v>426</v>
      </c>
      <c r="R228" s="76" t="s">
        <v>426</v>
      </c>
      <c r="S228" s="76" t="s">
        <v>426</v>
      </c>
      <c r="T228" s="76" t="s">
        <v>426</v>
      </c>
      <c r="U228" s="80" t="s">
        <v>1285</v>
      </c>
      <c r="V228" s="76"/>
      <c r="W228" s="80"/>
      <c r="X228" s="80"/>
      <c r="Y228" s="80"/>
      <c r="Z228" s="80"/>
      <c r="AA228" s="80"/>
      <c r="AB228" s="80"/>
      <c r="AC228" s="80"/>
      <c r="AD228" s="81"/>
    </row>
    <row r="229" spans="1:30" ht="62.4" x14ac:dyDescent="0.3">
      <c r="A229" s="76"/>
      <c r="B229" s="76" t="s">
        <v>360</v>
      </c>
      <c r="C229" s="76"/>
      <c r="D229" s="76"/>
      <c r="E229" s="76"/>
      <c r="F229" s="76"/>
      <c r="G229" s="76"/>
      <c r="H229" s="77"/>
      <c r="I229" s="76" t="s">
        <v>361</v>
      </c>
      <c r="J229" s="76" t="s">
        <v>434</v>
      </c>
      <c r="K229" s="76" t="s">
        <v>384</v>
      </c>
      <c r="L229" s="76" t="s">
        <v>1270</v>
      </c>
      <c r="M229" s="76" t="s">
        <v>1275</v>
      </c>
      <c r="N229" s="76" t="s">
        <v>1286</v>
      </c>
      <c r="O229" s="76" t="s">
        <v>1277</v>
      </c>
      <c r="P229" s="76"/>
      <c r="Q229" s="76" t="s">
        <v>426</v>
      </c>
      <c r="R229" s="76" t="s">
        <v>426</v>
      </c>
      <c r="S229" s="76" t="s">
        <v>426</v>
      </c>
      <c r="T229" s="76" t="s">
        <v>426</v>
      </c>
      <c r="U229" s="80" t="s">
        <v>1287</v>
      </c>
      <c r="V229" s="76"/>
      <c r="W229" s="80"/>
      <c r="X229" s="80"/>
      <c r="Y229" s="80"/>
      <c r="Z229" s="80"/>
      <c r="AA229" s="80"/>
      <c r="AB229" s="80"/>
      <c r="AC229" s="80"/>
      <c r="AD229" s="81"/>
    </row>
    <row r="230" spans="1:30" ht="78" x14ac:dyDescent="0.3">
      <c r="A230" s="76"/>
      <c r="B230" s="76" t="s">
        <v>360</v>
      </c>
      <c r="C230" s="76"/>
      <c r="D230" s="76"/>
      <c r="E230" s="76"/>
      <c r="F230" s="76"/>
      <c r="G230" s="76"/>
      <c r="H230" s="77"/>
      <c r="I230" s="76" t="s">
        <v>361</v>
      </c>
      <c r="J230" s="76" t="s">
        <v>434</v>
      </c>
      <c r="K230" s="76" t="s">
        <v>384</v>
      </c>
      <c r="L230" s="76" t="s">
        <v>1270</v>
      </c>
      <c r="M230" s="76" t="s">
        <v>1275</v>
      </c>
      <c r="N230" s="76" t="s">
        <v>1288</v>
      </c>
      <c r="O230" s="76" t="s">
        <v>1277</v>
      </c>
      <c r="P230" s="76" t="s">
        <v>333</v>
      </c>
      <c r="Q230" s="76" t="s">
        <v>426</v>
      </c>
      <c r="R230" s="76" t="s">
        <v>426</v>
      </c>
      <c r="S230" s="76" t="s">
        <v>426</v>
      </c>
      <c r="T230" s="76" t="s">
        <v>426</v>
      </c>
      <c r="U230" s="80" t="s">
        <v>1289</v>
      </c>
      <c r="V230" s="76"/>
      <c r="W230" s="80"/>
      <c r="X230" s="80"/>
      <c r="Y230" s="80"/>
      <c r="Z230" s="80"/>
      <c r="AA230" s="80"/>
      <c r="AB230" s="80"/>
      <c r="AC230" s="80"/>
      <c r="AD230" s="81"/>
    </row>
    <row r="231" spans="1:30" ht="296.39999999999998" x14ac:dyDescent="0.3">
      <c r="A231" s="76"/>
      <c r="B231" s="76" t="s">
        <v>360</v>
      </c>
      <c r="C231" s="76"/>
      <c r="D231" s="76"/>
      <c r="E231" s="76"/>
      <c r="F231" s="76"/>
      <c r="G231" s="76"/>
      <c r="H231" s="77"/>
      <c r="I231" s="76" t="s">
        <v>361</v>
      </c>
      <c r="J231" s="76" t="s">
        <v>434</v>
      </c>
      <c r="K231" s="76" t="s">
        <v>384</v>
      </c>
      <c r="L231" s="76" t="s">
        <v>1270</v>
      </c>
      <c r="M231" s="76" t="s">
        <v>1275</v>
      </c>
      <c r="N231" s="76" t="s">
        <v>1290</v>
      </c>
      <c r="O231" s="76" t="s">
        <v>1277</v>
      </c>
      <c r="P231" s="76" t="s">
        <v>333</v>
      </c>
      <c r="Q231" s="76" t="s">
        <v>426</v>
      </c>
      <c r="R231" s="76" t="s">
        <v>426</v>
      </c>
      <c r="S231" s="76" t="s">
        <v>426</v>
      </c>
      <c r="T231" s="76" t="s">
        <v>426</v>
      </c>
      <c r="U231" s="80" t="s">
        <v>1291</v>
      </c>
      <c r="V231" s="76"/>
      <c r="W231" s="80"/>
      <c r="X231" s="80"/>
      <c r="Y231" s="80"/>
      <c r="Z231" s="80"/>
      <c r="AA231" s="80"/>
      <c r="AB231" s="80"/>
      <c r="AC231" s="80"/>
      <c r="AD231" s="81"/>
    </row>
    <row r="232" spans="1:30" ht="31.2" x14ac:dyDescent="0.3">
      <c r="A232" s="76"/>
      <c r="B232" s="76" t="s">
        <v>360</v>
      </c>
      <c r="C232" s="76"/>
      <c r="D232" s="76"/>
      <c r="E232" s="76"/>
      <c r="F232" s="76"/>
      <c r="G232" s="76"/>
      <c r="H232" s="77"/>
      <c r="I232" s="76" t="s">
        <v>361</v>
      </c>
      <c r="J232" s="76" t="s">
        <v>434</v>
      </c>
      <c r="K232" s="76" t="s">
        <v>384</v>
      </c>
      <c r="L232" s="76" t="s">
        <v>1270</v>
      </c>
      <c r="M232" s="76" t="s">
        <v>1275</v>
      </c>
      <c r="N232" s="76" t="s">
        <v>1292</v>
      </c>
      <c r="O232" s="76" t="s">
        <v>1277</v>
      </c>
      <c r="P232" s="76"/>
      <c r="Q232" s="76" t="s">
        <v>426</v>
      </c>
      <c r="R232" s="76" t="s">
        <v>426</v>
      </c>
      <c r="S232" s="76" t="s">
        <v>426</v>
      </c>
      <c r="T232" s="76" t="s">
        <v>426</v>
      </c>
      <c r="U232" s="80" t="s">
        <v>1293</v>
      </c>
      <c r="V232" s="76"/>
      <c r="W232" s="80"/>
      <c r="X232" s="80"/>
      <c r="Y232" s="80"/>
      <c r="Z232" s="80"/>
      <c r="AA232" s="80"/>
      <c r="AB232" s="80"/>
      <c r="AC232" s="80"/>
      <c r="AD232" s="81"/>
    </row>
    <row r="233" spans="1:30" ht="409.6" x14ac:dyDescent="0.3">
      <c r="A233" s="76"/>
      <c r="B233" s="76"/>
      <c r="C233" s="76" t="s">
        <v>360</v>
      </c>
      <c r="D233" s="76"/>
      <c r="E233" s="76"/>
      <c r="F233" s="76"/>
      <c r="G233" s="76"/>
      <c r="H233" s="77"/>
      <c r="I233" s="76" t="s">
        <v>361</v>
      </c>
      <c r="J233" s="76" t="s">
        <v>434</v>
      </c>
      <c r="K233" s="76" t="s">
        <v>384</v>
      </c>
      <c r="L233" s="76" t="s">
        <v>1270</v>
      </c>
      <c r="M233" s="76" t="s">
        <v>1294</v>
      </c>
      <c r="N233" s="76" t="s">
        <v>1295</v>
      </c>
      <c r="O233" s="76" t="s">
        <v>644</v>
      </c>
      <c r="P233" s="76" t="s">
        <v>334</v>
      </c>
      <c r="Q233" s="76" t="s">
        <v>426</v>
      </c>
      <c r="R233" s="76" t="s">
        <v>426</v>
      </c>
      <c r="S233" s="76" t="s">
        <v>426</v>
      </c>
      <c r="T233" s="76" t="s">
        <v>426</v>
      </c>
      <c r="U233" s="80" t="s">
        <v>1296</v>
      </c>
      <c r="V233" s="76"/>
      <c r="W233" s="80"/>
      <c r="X233" s="80"/>
      <c r="Y233" s="80"/>
      <c r="Z233" s="80"/>
      <c r="AA233" s="80"/>
      <c r="AB233" s="80"/>
      <c r="AC233" s="80"/>
      <c r="AD233" s="81"/>
    </row>
    <row r="234" spans="1:30" ht="93.6" x14ac:dyDescent="0.3">
      <c r="A234" s="76"/>
      <c r="B234" s="76"/>
      <c r="C234" s="76"/>
      <c r="D234" s="76"/>
      <c r="E234" s="76"/>
      <c r="F234" s="76"/>
      <c r="G234" s="76" t="s">
        <v>360</v>
      </c>
      <c r="H234" s="77" t="s">
        <v>360</v>
      </c>
      <c r="I234" s="76" t="s">
        <v>361</v>
      </c>
      <c r="J234" s="76" t="s">
        <v>434</v>
      </c>
      <c r="K234" s="76" t="s">
        <v>384</v>
      </c>
      <c r="L234" s="76" t="s">
        <v>1270</v>
      </c>
      <c r="M234" s="76" t="s">
        <v>1294</v>
      </c>
      <c r="N234" s="76" t="s">
        <v>1297</v>
      </c>
      <c r="O234" s="76" t="s">
        <v>644</v>
      </c>
      <c r="P234" s="76"/>
      <c r="Q234" s="76" t="s">
        <v>426</v>
      </c>
      <c r="R234" s="76" t="s">
        <v>426</v>
      </c>
      <c r="S234" s="76" t="s">
        <v>426</v>
      </c>
      <c r="T234" s="76" t="s">
        <v>426</v>
      </c>
      <c r="U234" s="80" t="s">
        <v>1298</v>
      </c>
      <c r="V234" s="76"/>
      <c r="W234" s="80"/>
      <c r="X234" s="80"/>
      <c r="Y234" s="80"/>
      <c r="Z234" s="80"/>
      <c r="AA234" s="80"/>
      <c r="AB234" s="80"/>
      <c r="AC234" s="80"/>
      <c r="AD234" s="81"/>
    </row>
    <row r="235" spans="1:30" ht="78" x14ac:dyDescent="0.3">
      <c r="A235" s="76"/>
      <c r="B235" s="76"/>
      <c r="C235" s="76" t="s">
        <v>360</v>
      </c>
      <c r="D235" s="76"/>
      <c r="E235" s="76"/>
      <c r="F235" s="76"/>
      <c r="G235" s="76"/>
      <c r="H235" s="77" t="s">
        <v>360</v>
      </c>
      <c r="I235" s="76" t="s">
        <v>361</v>
      </c>
      <c r="J235" s="76" t="s">
        <v>434</v>
      </c>
      <c r="K235" s="76" t="s">
        <v>384</v>
      </c>
      <c r="L235" s="76" t="s">
        <v>1270</v>
      </c>
      <c r="M235" s="76" t="s">
        <v>1294</v>
      </c>
      <c r="N235" s="76" t="s">
        <v>1299</v>
      </c>
      <c r="O235" s="76" t="s">
        <v>644</v>
      </c>
      <c r="P235" s="76" t="s">
        <v>334</v>
      </c>
      <c r="Q235" s="76" t="s">
        <v>426</v>
      </c>
      <c r="R235" s="76" t="s">
        <v>426</v>
      </c>
      <c r="S235" s="76" t="s">
        <v>426</v>
      </c>
      <c r="T235" s="76" t="s">
        <v>426</v>
      </c>
      <c r="U235" s="80" t="s">
        <v>1300</v>
      </c>
      <c r="V235" s="76"/>
      <c r="W235" s="80"/>
      <c r="X235" s="80"/>
      <c r="Y235" s="80"/>
      <c r="Z235" s="80"/>
      <c r="AA235" s="80"/>
      <c r="AB235" s="80"/>
      <c r="AC235" s="80"/>
      <c r="AD235" s="81"/>
    </row>
    <row r="236" spans="1:30" ht="62.4" x14ac:dyDescent="0.3">
      <c r="A236" s="76"/>
      <c r="B236" s="76"/>
      <c r="C236" s="76" t="s">
        <v>360</v>
      </c>
      <c r="D236" s="76"/>
      <c r="E236" s="76"/>
      <c r="F236" s="76"/>
      <c r="G236" s="76"/>
      <c r="H236" s="77"/>
      <c r="I236" s="76" t="s">
        <v>361</v>
      </c>
      <c r="J236" s="76" t="s">
        <v>434</v>
      </c>
      <c r="K236" s="76" t="s">
        <v>384</v>
      </c>
      <c r="L236" s="76" t="s">
        <v>1270</v>
      </c>
      <c r="M236" s="76" t="s">
        <v>1294</v>
      </c>
      <c r="N236" s="76" t="s">
        <v>1301</v>
      </c>
      <c r="O236" s="76" t="s">
        <v>1302</v>
      </c>
      <c r="P236" s="76" t="s">
        <v>334</v>
      </c>
      <c r="Q236" s="76" t="s">
        <v>426</v>
      </c>
      <c r="R236" s="76" t="s">
        <v>426</v>
      </c>
      <c r="S236" s="76" t="s">
        <v>426</v>
      </c>
      <c r="T236" s="76" t="s">
        <v>426</v>
      </c>
      <c r="U236" s="80" t="s">
        <v>1303</v>
      </c>
      <c r="V236" s="76"/>
      <c r="W236" s="80"/>
      <c r="X236" s="80"/>
      <c r="Y236" s="80"/>
      <c r="Z236" s="80"/>
      <c r="AA236" s="80"/>
      <c r="AB236" s="80"/>
      <c r="AC236" s="80"/>
      <c r="AD236" s="81"/>
    </row>
    <row r="237" spans="1:30" ht="62.4" x14ac:dyDescent="0.3">
      <c r="A237" s="76" t="s">
        <v>360</v>
      </c>
      <c r="B237" s="76"/>
      <c r="C237" s="76"/>
      <c r="D237" s="76"/>
      <c r="E237" s="76"/>
      <c r="F237" s="76"/>
      <c r="G237" s="76"/>
      <c r="H237" s="77"/>
      <c r="I237" s="76" t="s">
        <v>361</v>
      </c>
      <c r="J237" s="76" t="s">
        <v>434</v>
      </c>
      <c r="K237" s="76" t="s">
        <v>384</v>
      </c>
      <c r="L237" s="76" t="s">
        <v>850</v>
      </c>
      <c r="M237" s="76" t="s">
        <v>865</v>
      </c>
      <c r="N237" s="76" t="s">
        <v>1304</v>
      </c>
      <c r="O237" s="76" t="s">
        <v>1305</v>
      </c>
      <c r="P237" s="76" t="s">
        <v>332</v>
      </c>
      <c r="Q237" s="76" t="s">
        <v>1306</v>
      </c>
      <c r="R237" s="76" t="s">
        <v>426</v>
      </c>
      <c r="S237" s="76" t="s">
        <v>426</v>
      </c>
      <c r="T237" s="76" t="s">
        <v>426</v>
      </c>
      <c r="U237" s="80" t="s">
        <v>1307</v>
      </c>
      <c r="V237" s="76"/>
      <c r="W237" s="80"/>
      <c r="X237" s="80"/>
      <c r="Y237" s="80"/>
      <c r="Z237" s="80"/>
      <c r="AA237" s="80"/>
      <c r="AB237" s="80"/>
      <c r="AC237" s="80"/>
      <c r="AD237" s="81"/>
    </row>
    <row r="238" spans="1:30" ht="156" x14ac:dyDescent="0.3">
      <c r="A238" s="76" t="s">
        <v>360</v>
      </c>
      <c r="B238" s="76"/>
      <c r="C238" s="76"/>
      <c r="D238" s="76"/>
      <c r="E238" s="76" t="s">
        <v>360</v>
      </c>
      <c r="F238" s="76"/>
      <c r="G238" s="76"/>
      <c r="H238" s="77"/>
      <c r="I238" s="76" t="s">
        <v>361</v>
      </c>
      <c r="J238" s="76" t="s">
        <v>434</v>
      </c>
      <c r="K238" s="76" t="s">
        <v>384</v>
      </c>
      <c r="L238" s="76" t="s">
        <v>850</v>
      </c>
      <c r="M238" s="76" t="s">
        <v>903</v>
      </c>
      <c r="N238" s="76" t="s">
        <v>1308</v>
      </c>
      <c r="O238" s="76" t="s">
        <v>644</v>
      </c>
      <c r="P238" s="76"/>
      <c r="Q238" s="76" t="s">
        <v>1309</v>
      </c>
      <c r="R238" s="76" t="s">
        <v>426</v>
      </c>
      <c r="S238" s="76" t="s">
        <v>426</v>
      </c>
      <c r="T238" s="76" t="s">
        <v>426</v>
      </c>
      <c r="U238" s="80" t="s">
        <v>1310</v>
      </c>
      <c r="V238" s="76"/>
      <c r="W238" s="80"/>
      <c r="X238" s="80" t="s">
        <v>1311</v>
      </c>
      <c r="Y238" s="80"/>
      <c r="Z238" s="80"/>
      <c r="AA238" s="80"/>
      <c r="AB238" s="80"/>
      <c r="AC238" s="80"/>
      <c r="AD238" s="81"/>
    </row>
    <row r="239" spans="1:30" ht="409.6" x14ac:dyDescent="0.3">
      <c r="A239" s="76"/>
      <c r="B239" s="76"/>
      <c r="C239" s="76"/>
      <c r="D239" s="76"/>
      <c r="E239" s="76"/>
      <c r="F239" s="76"/>
      <c r="G239" s="76"/>
      <c r="H239" s="77" t="s">
        <v>360</v>
      </c>
      <c r="I239" s="76" t="s">
        <v>361</v>
      </c>
      <c r="J239" s="76"/>
      <c r="K239" s="76" t="s">
        <v>384</v>
      </c>
      <c r="L239" s="76" t="s">
        <v>1312</v>
      </c>
      <c r="M239" s="76"/>
      <c r="N239" s="76">
        <v>40601</v>
      </c>
      <c r="O239" s="76" t="s">
        <v>402</v>
      </c>
      <c r="P239" s="76" t="s">
        <v>923</v>
      </c>
      <c r="Q239" s="76"/>
      <c r="R239" s="76" t="s">
        <v>1313</v>
      </c>
      <c r="S239" s="83">
        <v>4557000000</v>
      </c>
      <c r="T239" s="76"/>
      <c r="U239" s="80" t="s">
        <v>1314</v>
      </c>
      <c r="V239" s="76" t="s">
        <v>371</v>
      </c>
      <c r="W239" s="80" t="s">
        <v>1315</v>
      </c>
      <c r="X239" s="80" t="s">
        <v>408</v>
      </c>
      <c r="Y239" s="80" t="s">
        <v>1316</v>
      </c>
      <c r="Z239" s="80" t="s">
        <v>560</v>
      </c>
      <c r="AA239" s="80"/>
      <c r="AB239" s="80"/>
      <c r="AC239" s="80" t="s">
        <v>1317</v>
      </c>
      <c r="AD239" s="81" t="s">
        <v>1318</v>
      </c>
    </row>
    <row r="240" spans="1:30" ht="46.8" x14ac:dyDescent="0.3">
      <c r="A240" s="76"/>
      <c r="B240" s="76"/>
      <c r="C240" s="76"/>
      <c r="D240" s="76"/>
      <c r="E240" s="76"/>
      <c r="F240" s="76"/>
      <c r="G240" s="76"/>
      <c r="H240" s="77" t="s">
        <v>360</v>
      </c>
      <c r="I240" s="76" t="s">
        <v>361</v>
      </c>
      <c r="J240" s="76"/>
      <c r="K240" s="76" t="s">
        <v>384</v>
      </c>
      <c r="L240" s="76" t="s">
        <v>922</v>
      </c>
      <c r="M240" s="76"/>
      <c r="N240" s="76">
        <v>40703</v>
      </c>
      <c r="O240" s="76" t="s">
        <v>402</v>
      </c>
      <c r="P240" s="76" t="s">
        <v>923</v>
      </c>
      <c r="Q240" s="76" t="s">
        <v>924</v>
      </c>
      <c r="R240" s="76" t="s">
        <v>930</v>
      </c>
      <c r="S240" s="83" t="s">
        <v>931</v>
      </c>
      <c r="T240" s="79">
        <v>49948</v>
      </c>
      <c r="U240" s="80" t="s">
        <v>1319</v>
      </c>
      <c r="V240" s="76" t="s">
        <v>428</v>
      </c>
      <c r="W240" s="80"/>
      <c r="X240" s="80"/>
      <c r="Y240" s="80"/>
      <c r="Z240" s="80"/>
      <c r="AA240" s="80"/>
      <c r="AB240" s="80"/>
      <c r="AC240" s="80"/>
      <c r="AD240" s="81"/>
    </row>
    <row r="241" spans="1:30" ht="409.6" x14ac:dyDescent="0.3">
      <c r="A241" s="76"/>
      <c r="B241" s="76"/>
      <c r="C241" s="76"/>
      <c r="D241" s="76"/>
      <c r="E241" s="76"/>
      <c r="F241" s="76"/>
      <c r="G241" s="76"/>
      <c r="H241" s="77" t="s">
        <v>360</v>
      </c>
      <c r="I241" s="76" t="s">
        <v>361</v>
      </c>
      <c r="J241" s="76"/>
      <c r="K241" s="76" t="s">
        <v>384</v>
      </c>
      <c r="L241" s="76" t="s">
        <v>385</v>
      </c>
      <c r="M241" s="76"/>
      <c r="N241" s="76">
        <v>40802</v>
      </c>
      <c r="O241" s="76" t="s">
        <v>1171</v>
      </c>
      <c r="P241" s="76" t="s">
        <v>923</v>
      </c>
      <c r="Q241" s="76"/>
      <c r="R241" s="76" t="s">
        <v>930</v>
      </c>
      <c r="S241" s="76" t="s">
        <v>1020</v>
      </c>
      <c r="T241" s="76" t="s">
        <v>930</v>
      </c>
      <c r="U241" s="80" t="s">
        <v>1320</v>
      </c>
      <c r="V241" s="76"/>
      <c r="W241" s="80"/>
      <c r="X241" s="80"/>
      <c r="Y241" s="80"/>
      <c r="Z241" s="80"/>
      <c r="AA241" s="80"/>
      <c r="AB241" s="80"/>
      <c r="AC241" s="80"/>
      <c r="AD241" s="81"/>
    </row>
    <row r="242" spans="1:30" ht="234" x14ac:dyDescent="0.3">
      <c r="A242" s="76"/>
      <c r="B242" s="76"/>
      <c r="C242" s="76"/>
      <c r="D242" s="76"/>
      <c r="E242" s="76"/>
      <c r="F242" s="76" t="s">
        <v>360</v>
      </c>
      <c r="G242" s="76"/>
      <c r="H242" s="77"/>
      <c r="I242" s="76" t="s">
        <v>361</v>
      </c>
      <c r="J242" s="76"/>
      <c r="K242" s="76" t="s">
        <v>384</v>
      </c>
      <c r="L242" s="76" t="s">
        <v>385</v>
      </c>
      <c r="M242" s="76"/>
      <c r="N242" s="76">
        <v>40805</v>
      </c>
      <c r="O242" s="76" t="s">
        <v>1321</v>
      </c>
      <c r="P242" s="76" t="s">
        <v>952</v>
      </c>
      <c r="Q242" s="76"/>
      <c r="R242" s="76" t="s">
        <v>675</v>
      </c>
      <c r="S242" s="83">
        <v>800000</v>
      </c>
      <c r="T242" s="76" t="s">
        <v>1110</v>
      </c>
      <c r="U242" s="80" t="s">
        <v>1322</v>
      </c>
      <c r="V242" s="76"/>
      <c r="W242" s="80"/>
      <c r="X242" s="80"/>
      <c r="Y242" s="80"/>
      <c r="Z242" s="80"/>
      <c r="AA242" s="80"/>
      <c r="AB242" s="80"/>
      <c r="AC242" s="80"/>
      <c r="AD242" s="81"/>
    </row>
    <row r="243" spans="1:30" ht="109.2" x14ac:dyDescent="0.3">
      <c r="A243" s="76"/>
      <c r="B243" s="76"/>
      <c r="C243" s="76"/>
      <c r="D243" s="76" t="s">
        <v>360</v>
      </c>
      <c r="E243" s="76"/>
      <c r="F243" s="76" t="s">
        <v>360</v>
      </c>
      <c r="G243" s="76"/>
      <c r="H243" s="77"/>
      <c r="I243" s="76" t="s">
        <v>361</v>
      </c>
      <c r="J243" s="76"/>
      <c r="K243" s="76" t="s">
        <v>384</v>
      </c>
      <c r="L243" s="76" t="s">
        <v>385</v>
      </c>
      <c r="M243" s="76"/>
      <c r="N243" s="76">
        <v>40806</v>
      </c>
      <c r="O243" s="76" t="s">
        <v>386</v>
      </c>
      <c r="P243" s="76" t="s">
        <v>387</v>
      </c>
      <c r="Q243" s="76"/>
      <c r="R243" s="76"/>
      <c r="S243" s="83" t="s">
        <v>1020</v>
      </c>
      <c r="T243" s="76"/>
      <c r="U243" s="80" t="s">
        <v>1323</v>
      </c>
      <c r="V243" s="76"/>
      <c r="W243" s="80"/>
      <c r="X243" s="80"/>
      <c r="Y243" s="80"/>
      <c r="Z243" s="80"/>
      <c r="AA243" s="80"/>
      <c r="AB243" s="80"/>
      <c r="AC243" s="80"/>
      <c r="AD243" s="81"/>
    </row>
    <row r="244" spans="1:30" ht="124.8" x14ac:dyDescent="0.3">
      <c r="A244" s="76"/>
      <c r="B244" s="76"/>
      <c r="C244" s="76"/>
      <c r="D244" s="76" t="s">
        <v>360</v>
      </c>
      <c r="E244" s="76"/>
      <c r="F244" s="76" t="s">
        <v>360</v>
      </c>
      <c r="G244" s="76"/>
      <c r="H244" s="77"/>
      <c r="I244" s="76" t="s">
        <v>361</v>
      </c>
      <c r="J244" s="76"/>
      <c r="K244" s="76" t="s">
        <v>384</v>
      </c>
      <c r="L244" s="76" t="s">
        <v>385</v>
      </c>
      <c r="M244" s="76"/>
      <c r="N244" s="76">
        <v>40807</v>
      </c>
      <c r="O244" s="76" t="s">
        <v>393</v>
      </c>
      <c r="P244" s="76" t="s">
        <v>387</v>
      </c>
      <c r="Q244" s="76"/>
      <c r="R244" s="76"/>
      <c r="S244" s="83" t="s">
        <v>1020</v>
      </c>
      <c r="T244" s="76"/>
      <c r="U244" s="80" t="s">
        <v>1324</v>
      </c>
      <c r="V244" s="76"/>
      <c r="W244" s="80"/>
      <c r="X244" s="80"/>
      <c r="Y244" s="80"/>
      <c r="Z244" s="80"/>
      <c r="AA244" s="80"/>
      <c r="AB244" s="80"/>
      <c r="AC244" s="80"/>
      <c r="AD244" s="81"/>
    </row>
    <row r="245" spans="1:30" ht="93.6" x14ac:dyDescent="0.3">
      <c r="A245" s="76"/>
      <c r="B245" s="76"/>
      <c r="C245" s="76"/>
      <c r="D245" s="76" t="s">
        <v>360</v>
      </c>
      <c r="E245" s="76"/>
      <c r="F245" s="76"/>
      <c r="G245" s="76"/>
      <c r="H245" s="77"/>
      <c r="I245" s="76" t="s">
        <v>361</v>
      </c>
      <c r="J245" s="76"/>
      <c r="K245" s="76" t="s">
        <v>384</v>
      </c>
      <c r="L245" s="76" t="s">
        <v>401</v>
      </c>
      <c r="M245" s="76"/>
      <c r="N245" s="76" t="s">
        <v>1325</v>
      </c>
      <c r="O245" s="76" t="s">
        <v>402</v>
      </c>
      <c r="P245" s="76" t="s">
        <v>952</v>
      </c>
      <c r="Q245" s="76"/>
      <c r="R245" s="76" t="s">
        <v>930</v>
      </c>
      <c r="S245" s="76" t="s">
        <v>1020</v>
      </c>
      <c r="T245" s="76"/>
      <c r="U245" s="80" t="s">
        <v>1326</v>
      </c>
      <c r="V245" s="76"/>
      <c r="W245" s="80"/>
      <c r="X245" s="80"/>
      <c r="Y245" s="80"/>
      <c r="Z245" s="80"/>
      <c r="AA245" s="80"/>
      <c r="AB245" s="80"/>
      <c r="AC245" s="80"/>
      <c r="AD245" s="81"/>
    </row>
    <row r="246" spans="1:30" ht="409.6" x14ac:dyDescent="0.3">
      <c r="A246" s="76"/>
      <c r="B246" s="76"/>
      <c r="C246" s="76"/>
      <c r="D246" s="76"/>
      <c r="E246" s="76"/>
      <c r="F246" s="76"/>
      <c r="G246" s="76" t="s">
        <v>360</v>
      </c>
      <c r="H246" s="77"/>
      <c r="I246" s="76"/>
      <c r="J246" s="76"/>
      <c r="K246" s="76" t="s">
        <v>384</v>
      </c>
      <c r="L246" s="76" t="s">
        <v>972</v>
      </c>
      <c r="M246" s="76"/>
      <c r="N246" s="76" t="s">
        <v>1327</v>
      </c>
      <c r="O246" s="76" t="s">
        <v>402</v>
      </c>
      <c r="P246" s="76" t="s">
        <v>338</v>
      </c>
      <c r="Q246" s="76" t="s">
        <v>1328</v>
      </c>
      <c r="R246" s="76"/>
      <c r="S246" s="91">
        <f>SUM(8668000, 15000000, 23000000, 24200000, 25400000, 26600000, 27800000, 230000000, 100000000, 135000000, 135000000, 40000000, 35000000 )</f>
        <v>825668000</v>
      </c>
      <c r="T246" s="76"/>
      <c r="U246" s="80" t="s">
        <v>1329</v>
      </c>
      <c r="V246" s="76" t="s">
        <v>428</v>
      </c>
      <c r="W246" s="80"/>
      <c r="X246" s="80"/>
      <c r="Y246" s="80"/>
      <c r="Z246" s="80"/>
      <c r="AA246" s="80"/>
      <c r="AB246" s="80"/>
      <c r="AC246" s="80"/>
      <c r="AD246" s="81"/>
    </row>
    <row r="247" spans="1:30" ht="358.8" x14ac:dyDescent="0.3">
      <c r="A247" s="76"/>
      <c r="B247" s="76" t="s">
        <v>360</v>
      </c>
      <c r="C247" s="76"/>
      <c r="D247" s="76"/>
      <c r="E247" s="76"/>
      <c r="F247" s="76"/>
      <c r="G247" s="76" t="s">
        <v>360</v>
      </c>
      <c r="H247" s="77"/>
      <c r="I247" s="76" t="s">
        <v>361</v>
      </c>
      <c r="J247" s="76"/>
      <c r="K247" s="76" t="s">
        <v>384</v>
      </c>
      <c r="L247" s="76" t="s">
        <v>972</v>
      </c>
      <c r="M247" s="76"/>
      <c r="N247" s="76" t="s">
        <v>1330</v>
      </c>
      <c r="O247" s="76"/>
      <c r="P247" s="76" t="s">
        <v>985</v>
      </c>
      <c r="Q247" s="76"/>
      <c r="R247" s="76" t="s">
        <v>975</v>
      </c>
      <c r="S247" s="91">
        <f>SUM(397000000, 200000000, 200000000, 150000000, 937000000, 1000000000, 600000000)</f>
        <v>3484000000</v>
      </c>
      <c r="T247" s="76"/>
      <c r="U247" s="80" t="s">
        <v>1331</v>
      </c>
      <c r="V247" s="76" t="s">
        <v>428</v>
      </c>
      <c r="W247" s="80"/>
      <c r="X247" s="80"/>
      <c r="Y247" s="80"/>
      <c r="Z247" s="80"/>
      <c r="AA247" s="80"/>
      <c r="AB247" s="80"/>
      <c r="AC247" s="80"/>
      <c r="AD247" s="81"/>
    </row>
    <row r="248" spans="1:30" ht="124.8" x14ac:dyDescent="0.3">
      <c r="A248" s="76"/>
      <c r="B248" s="76"/>
      <c r="C248" s="76"/>
      <c r="D248" s="76"/>
      <c r="E248" s="76"/>
      <c r="F248" s="76"/>
      <c r="G248" s="76" t="s">
        <v>360</v>
      </c>
      <c r="H248" s="77"/>
      <c r="I248" s="76" t="s">
        <v>361</v>
      </c>
      <c r="J248" s="76"/>
      <c r="K248" s="76" t="s">
        <v>384</v>
      </c>
      <c r="L248" s="76" t="s">
        <v>972</v>
      </c>
      <c r="M248" s="76"/>
      <c r="N248" s="76" t="s">
        <v>1332</v>
      </c>
      <c r="O248" s="76"/>
      <c r="P248" s="76" t="s">
        <v>1125</v>
      </c>
      <c r="Q248" s="76"/>
      <c r="R248" s="76" t="s">
        <v>675</v>
      </c>
      <c r="S248" s="91">
        <f>SUM(15000000, 100000000)</f>
        <v>115000000</v>
      </c>
      <c r="T248" s="76"/>
      <c r="U248" s="80" t="s">
        <v>1333</v>
      </c>
      <c r="V248" s="76" t="s">
        <v>428</v>
      </c>
      <c r="W248" s="80"/>
      <c r="X248" s="80"/>
      <c r="Y248" s="80"/>
      <c r="Z248" s="80"/>
      <c r="AA248" s="80"/>
      <c r="AB248" s="80"/>
      <c r="AC248" s="80"/>
      <c r="AD248" s="81"/>
    </row>
    <row r="249" spans="1:30" ht="124.8" x14ac:dyDescent="0.3">
      <c r="A249" s="76"/>
      <c r="B249" s="76"/>
      <c r="C249" s="76"/>
      <c r="D249" s="76"/>
      <c r="E249" s="76"/>
      <c r="F249" s="76"/>
      <c r="G249" s="76" t="s">
        <v>360</v>
      </c>
      <c r="H249" s="77"/>
      <c r="I249" s="76" t="s">
        <v>361</v>
      </c>
      <c r="J249" s="76"/>
      <c r="K249" s="76" t="s">
        <v>384</v>
      </c>
      <c r="L249" s="76" t="s">
        <v>972</v>
      </c>
      <c r="M249" s="76"/>
      <c r="N249" s="76" t="s">
        <v>1334</v>
      </c>
      <c r="O249" s="76"/>
      <c r="P249" s="76" t="s">
        <v>338</v>
      </c>
      <c r="Q249" s="76"/>
      <c r="R249" s="76" t="s">
        <v>975</v>
      </c>
      <c r="S249" s="91">
        <f>SUM(100000000, 100000000, 150000000, 150000000)</f>
        <v>500000000</v>
      </c>
      <c r="T249" s="76"/>
      <c r="U249" s="80" t="s">
        <v>1335</v>
      </c>
      <c r="V249" s="76" t="s">
        <v>428</v>
      </c>
      <c r="W249" s="80"/>
      <c r="X249" s="80"/>
      <c r="Y249" s="80"/>
      <c r="Z249" s="80"/>
      <c r="AA249" s="80"/>
      <c r="AB249" s="80"/>
      <c r="AC249" s="80"/>
      <c r="AD249" s="81"/>
    </row>
    <row r="250" spans="1:30" ht="409.6" x14ac:dyDescent="0.3">
      <c r="A250" s="76"/>
      <c r="B250" s="76"/>
      <c r="C250" s="76"/>
      <c r="D250" s="76"/>
      <c r="E250" s="76" t="s">
        <v>457</v>
      </c>
      <c r="F250" s="76"/>
      <c r="G250" s="76"/>
      <c r="H250" s="77"/>
      <c r="I250" s="76" t="s">
        <v>361</v>
      </c>
      <c r="J250" s="76"/>
      <c r="K250" s="76" t="s">
        <v>384</v>
      </c>
      <c r="L250" s="76" t="s">
        <v>1336</v>
      </c>
      <c r="M250" s="76"/>
      <c r="N250" s="76"/>
      <c r="O250" s="76" t="s">
        <v>1337</v>
      </c>
      <c r="P250" s="76" t="s">
        <v>1338</v>
      </c>
      <c r="Q250" s="76"/>
      <c r="R250" s="76" t="s">
        <v>930</v>
      </c>
      <c r="S250" s="76" t="s">
        <v>1020</v>
      </c>
      <c r="T250" s="76" t="s">
        <v>930</v>
      </c>
      <c r="U250" s="80" t="s">
        <v>1339</v>
      </c>
      <c r="V250" s="76"/>
      <c r="W250" s="80"/>
      <c r="X250" s="80"/>
      <c r="Y250" s="80"/>
      <c r="Z250" s="80"/>
      <c r="AA250" s="80"/>
      <c r="AB250" s="80"/>
      <c r="AC250" s="80"/>
      <c r="AD250" s="81"/>
    </row>
    <row r="251" spans="1:30" ht="280.8" x14ac:dyDescent="0.3">
      <c r="A251" s="76"/>
      <c r="B251" s="76" t="s">
        <v>360</v>
      </c>
      <c r="C251" s="76"/>
      <c r="D251" s="76"/>
      <c r="E251" s="76"/>
      <c r="F251" s="76"/>
      <c r="G251" s="76"/>
      <c r="H251" s="77"/>
      <c r="I251" s="76" t="s">
        <v>361</v>
      </c>
      <c r="J251" s="76" t="s">
        <v>1340</v>
      </c>
      <c r="K251" s="76" t="s">
        <v>384</v>
      </c>
      <c r="L251" s="76" t="s">
        <v>1341</v>
      </c>
      <c r="M251" s="76"/>
      <c r="N251" s="76" t="s">
        <v>1342</v>
      </c>
      <c r="O251" s="76" t="s">
        <v>644</v>
      </c>
      <c r="P251" s="76" t="s">
        <v>333</v>
      </c>
      <c r="Q251" s="76" t="s">
        <v>1343</v>
      </c>
      <c r="R251" s="76" t="s">
        <v>930</v>
      </c>
      <c r="S251" s="76" t="s">
        <v>1020</v>
      </c>
      <c r="T251" s="76" t="s">
        <v>930</v>
      </c>
      <c r="U251" s="80" t="s">
        <v>1344</v>
      </c>
      <c r="V251" s="76" t="s">
        <v>371</v>
      </c>
      <c r="W251" s="80"/>
      <c r="X251" s="80"/>
      <c r="Y251" s="80"/>
      <c r="Z251" s="80"/>
      <c r="AA251" s="80"/>
      <c r="AB251" s="80"/>
      <c r="AC251" s="80"/>
      <c r="AD251" s="81"/>
    </row>
    <row r="252" spans="1:30" ht="78" x14ac:dyDescent="0.3">
      <c r="A252" s="76"/>
      <c r="B252" s="76"/>
      <c r="C252" s="76"/>
      <c r="D252" s="76"/>
      <c r="E252" s="76"/>
      <c r="F252" s="76"/>
      <c r="G252" s="76"/>
      <c r="H252" s="77" t="s">
        <v>360</v>
      </c>
      <c r="I252" s="76" t="s">
        <v>361</v>
      </c>
      <c r="J252" s="76"/>
      <c r="K252" s="76" t="s">
        <v>442</v>
      </c>
      <c r="L252" s="76" t="s">
        <v>987</v>
      </c>
      <c r="M252" s="76"/>
      <c r="N252" s="76" t="s">
        <v>1345</v>
      </c>
      <c r="O252" s="76" t="s">
        <v>416</v>
      </c>
      <c r="P252" s="76" t="s">
        <v>989</v>
      </c>
      <c r="Q252" s="76"/>
      <c r="R252" s="76"/>
      <c r="S252" s="76" t="s">
        <v>931</v>
      </c>
      <c r="T252" s="76"/>
      <c r="U252" s="80" t="s">
        <v>1346</v>
      </c>
      <c r="V252" s="76"/>
      <c r="W252" s="80"/>
      <c r="X252" s="80"/>
      <c r="Y252" s="80"/>
      <c r="Z252" s="80"/>
      <c r="AA252" s="80"/>
      <c r="AB252" s="80"/>
      <c r="AC252" s="80"/>
      <c r="AD252" s="81"/>
    </row>
    <row r="253" spans="1:30" ht="409.6" x14ac:dyDescent="0.3">
      <c r="A253" s="76"/>
      <c r="B253" s="76"/>
      <c r="C253" s="76"/>
      <c r="D253" s="76"/>
      <c r="E253" s="76"/>
      <c r="F253" s="76"/>
      <c r="G253" s="76"/>
      <c r="H253" s="77" t="s">
        <v>360</v>
      </c>
      <c r="I253" s="76" t="s">
        <v>361</v>
      </c>
      <c r="J253" s="76"/>
      <c r="K253" s="76" t="s">
        <v>442</v>
      </c>
      <c r="L253" s="76" t="s">
        <v>987</v>
      </c>
      <c r="M253" s="76"/>
      <c r="N253" s="76" t="s">
        <v>1347</v>
      </c>
      <c r="O253" s="76" t="s">
        <v>416</v>
      </c>
      <c r="P253" s="76" t="s">
        <v>989</v>
      </c>
      <c r="Q253" s="76"/>
      <c r="R253" s="76" t="s">
        <v>388</v>
      </c>
      <c r="S253" s="83">
        <v>250000000</v>
      </c>
      <c r="T253" s="76"/>
      <c r="U253" s="80" t="s">
        <v>1348</v>
      </c>
      <c r="V253" s="76"/>
      <c r="W253" s="80"/>
      <c r="X253" s="80"/>
      <c r="Y253" s="80"/>
      <c r="Z253" s="80"/>
      <c r="AA253" s="82">
        <v>0</v>
      </c>
      <c r="AB253" s="80" t="s">
        <v>1349</v>
      </c>
      <c r="AC253" s="80" t="s">
        <v>1350</v>
      </c>
      <c r="AD253" s="81"/>
    </row>
    <row r="254" spans="1:30" ht="327.60000000000002" x14ac:dyDescent="0.3">
      <c r="A254" s="76"/>
      <c r="B254" s="76"/>
      <c r="C254" s="76"/>
      <c r="D254" s="76"/>
      <c r="E254" s="76"/>
      <c r="F254" s="76"/>
      <c r="G254" s="76"/>
      <c r="H254" s="77" t="s">
        <v>360</v>
      </c>
      <c r="I254" s="76" t="s">
        <v>361</v>
      </c>
      <c r="J254" s="76"/>
      <c r="K254" s="76" t="s">
        <v>442</v>
      </c>
      <c r="L254" s="76" t="s">
        <v>987</v>
      </c>
      <c r="M254" s="76"/>
      <c r="N254" s="76" t="s">
        <v>1351</v>
      </c>
      <c r="O254" s="76" t="s">
        <v>416</v>
      </c>
      <c r="P254" s="76" t="s">
        <v>989</v>
      </c>
      <c r="Q254" s="76"/>
      <c r="R254" s="76" t="s">
        <v>930</v>
      </c>
      <c r="S254" s="76" t="s">
        <v>1020</v>
      </c>
      <c r="T254" s="76" t="s">
        <v>930</v>
      </c>
      <c r="U254" s="80" t="s">
        <v>1352</v>
      </c>
      <c r="V254" s="76"/>
      <c r="W254" s="80"/>
      <c r="X254" s="80"/>
      <c r="Y254" s="80"/>
      <c r="Z254" s="80"/>
      <c r="AA254" s="80"/>
      <c r="AB254" s="80"/>
      <c r="AC254" s="80"/>
      <c r="AD254" s="81"/>
    </row>
    <row r="255" spans="1:30" ht="78" x14ac:dyDescent="0.3">
      <c r="A255" s="76"/>
      <c r="B255" s="76"/>
      <c r="C255" s="76"/>
      <c r="D255" s="76"/>
      <c r="E255" s="76"/>
      <c r="F255" s="76"/>
      <c r="G255" s="76"/>
      <c r="H255" s="77" t="s">
        <v>360</v>
      </c>
      <c r="I255" s="76" t="s">
        <v>361</v>
      </c>
      <c r="J255" s="76"/>
      <c r="K255" s="76" t="s">
        <v>442</v>
      </c>
      <c r="L255" s="76" t="s">
        <v>987</v>
      </c>
      <c r="M255" s="76"/>
      <c r="N255" s="76" t="s">
        <v>1353</v>
      </c>
      <c r="O255" s="76" t="s">
        <v>416</v>
      </c>
      <c r="P255" s="76" t="s">
        <v>989</v>
      </c>
      <c r="Q255" s="76"/>
      <c r="R255" s="76" t="s">
        <v>930</v>
      </c>
      <c r="S255" s="76" t="s">
        <v>1020</v>
      </c>
      <c r="T255" s="76" t="s">
        <v>930</v>
      </c>
      <c r="U255" s="80" t="s">
        <v>1354</v>
      </c>
      <c r="V255" s="76"/>
      <c r="W255" s="80" t="s">
        <v>1022</v>
      </c>
      <c r="X255" s="80"/>
      <c r="Y255" s="80"/>
      <c r="Z255" s="80"/>
      <c r="AA255" s="80"/>
      <c r="AB255" s="80"/>
      <c r="AC255" s="80"/>
      <c r="AD255" s="81"/>
    </row>
    <row r="256" spans="1:30" ht="409.6" x14ac:dyDescent="0.3">
      <c r="A256" s="76" t="s">
        <v>360</v>
      </c>
      <c r="B256" s="76"/>
      <c r="C256" s="76"/>
      <c r="D256" s="76"/>
      <c r="E256" s="76"/>
      <c r="F256" s="76"/>
      <c r="G256" s="76"/>
      <c r="H256" s="77"/>
      <c r="I256" s="76" t="s">
        <v>361</v>
      </c>
      <c r="J256" s="76"/>
      <c r="K256" s="76" t="s">
        <v>442</v>
      </c>
      <c r="L256" s="76" t="s">
        <v>443</v>
      </c>
      <c r="M256" s="76"/>
      <c r="N256" s="76" t="s">
        <v>1355</v>
      </c>
      <c r="O256" s="76" t="s">
        <v>416</v>
      </c>
      <c r="P256" s="76" t="s">
        <v>332</v>
      </c>
      <c r="Q256" s="76"/>
      <c r="R256" s="76" t="s">
        <v>388</v>
      </c>
      <c r="S256" s="91">
        <f>SUM(40000000, 40000000, 40000000, 40000000, 40000000)</f>
        <v>200000000</v>
      </c>
      <c r="T256" s="76"/>
      <c r="U256" s="80" t="s">
        <v>1356</v>
      </c>
      <c r="V256" s="76" t="s">
        <v>371</v>
      </c>
      <c r="W256" s="80" t="s">
        <v>407</v>
      </c>
      <c r="X256" s="76" t="s">
        <v>1357</v>
      </c>
      <c r="Y256" s="80" t="s">
        <v>1358</v>
      </c>
      <c r="Z256" s="82">
        <v>0.02</v>
      </c>
      <c r="AA256" s="80"/>
      <c r="AB256" s="80"/>
      <c r="AC256" s="80" t="s">
        <v>1359</v>
      </c>
      <c r="AD256" s="81"/>
    </row>
    <row r="257" spans="1:30" ht="409.6" x14ac:dyDescent="0.3">
      <c r="A257" s="76"/>
      <c r="B257" s="76"/>
      <c r="C257" s="76"/>
      <c r="D257" s="76"/>
      <c r="E257" s="76" t="s">
        <v>360</v>
      </c>
      <c r="F257" s="76"/>
      <c r="G257" s="76"/>
      <c r="H257" s="77"/>
      <c r="I257" s="76" t="s">
        <v>361</v>
      </c>
      <c r="J257" s="76" t="s">
        <v>362</v>
      </c>
      <c r="K257" s="76" t="s">
        <v>442</v>
      </c>
      <c r="L257" s="76" t="s">
        <v>443</v>
      </c>
      <c r="M257" s="76"/>
      <c r="N257" s="76" t="s">
        <v>1360</v>
      </c>
      <c r="O257" s="76" t="s">
        <v>416</v>
      </c>
      <c r="P257" s="76" t="s">
        <v>1361</v>
      </c>
      <c r="Q257" s="76"/>
      <c r="R257" s="76" t="s">
        <v>930</v>
      </c>
      <c r="S257" s="76" t="s">
        <v>1020</v>
      </c>
      <c r="T257" s="76" t="s">
        <v>930</v>
      </c>
      <c r="U257" s="80" t="s">
        <v>1362</v>
      </c>
      <c r="V257" s="76" t="s">
        <v>371</v>
      </c>
      <c r="W257" s="80" t="s">
        <v>1022</v>
      </c>
      <c r="X257" s="80"/>
      <c r="Y257" s="80"/>
      <c r="Z257" s="80"/>
      <c r="AA257" s="80"/>
      <c r="AB257" s="80"/>
      <c r="AC257" s="80"/>
      <c r="AD257" s="81"/>
    </row>
    <row r="258" spans="1:30" ht="374.4" x14ac:dyDescent="0.3">
      <c r="A258" s="76"/>
      <c r="B258" s="76"/>
      <c r="C258" s="76"/>
      <c r="D258" s="76" t="s">
        <v>360</v>
      </c>
      <c r="E258" s="76"/>
      <c r="F258" s="76"/>
      <c r="G258" s="76"/>
      <c r="H258" s="77"/>
      <c r="I258" s="76" t="s">
        <v>361</v>
      </c>
      <c r="J258" s="76" t="s">
        <v>1363</v>
      </c>
      <c r="K258" s="76" t="s">
        <v>442</v>
      </c>
      <c r="L258" s="76" t="s">
        <v>443</v>
      </c>
      <c r="M258" s="76"/>
      <c r="N258" s="76" t="s">
        <v>1364</v>
      </c>
      <c r="O258" s="76" t="s">
        <v>416</v>
      </c>
      <c r="P258" s="76" t="s">
        <v>1091</v>
      </c>
      <c r="Q258" s="76"/>
      <c r="R258" s="76" t="s">
        <v>975</v>
      </c>
      <c r="S258" s="83">
        <v>75000000</v>
      </c>
      <c r="T258" s="76"/>
      <c r="U258" s="80" t="s">
        <v>1365</v>
      </c>
      <c r="V258" s="76" t="s">
        <v>428</v>
      </c>
      <c r="W258" s="80"/>
      <c r="X258" s="80"/>
      <c r="Y258" s="80"/>
      <c r="Z258" s="80"/>
      <c r="AA258" s="82">
        <v>0.5</v>
      </c>
      <c r="AB258" s="80" t="s">
        <v>1366</v>
      </c>
      <c r="AC258" s="80"/>
      <c r="AD258" s="81"/>
    </row>
    <row r="259" spans="1:30" ht="15.6" x14ac:dyDescent="0.3">
      <c r="A259" s="76"/>
      <c r="B259" s="76"/>
      <c r="C259" s="76"/>
      <c r="D259" s="76" t="s">
        <v>360</v>
      </c>
      <c r="E259" s="76"/>
      <c r="F259" s="76"/>
      <c r="G259" s="76"/>
      <c r="H259" s="77"/>
      <c r="I259" s="76" t="s">
        <v>361</v>
      </c>
      <c r="J259" s="76"/>
      <c r="K259" s="76" t="s">
        <v>442</v>
      </c>
      <c r="L259" s="76" t="s">
        <v>443</v>
      </c>
      <c r="M259" s="76"/>
      <c r="N259" s="76" t="s">
        <v>1367</v>
      </c>
      <c r="O259" s="76" t="s">
        <v>416</v>
      </c>
      <c r="P259" s="76" t="s">
        <v>1091</v>
      </c>
      <c r="Q259" s="76"/>
      <c r="R259" s="76"/>
      <c r="S259" s="76"/>
      <c r="T259" s="76"/>
      <c r="U259" s="80"/>
      <c r="V259" s="76"/>
      <c r="W259" s="80"/>
      <c r="X259" s="80"/>
      <c r="Y259" s="80"/>
      <c r="Z259" s="80"/>
      <c r="AA259" s="80"/>
      <c r="AB259" s="80"/>
      <c r="AC259" s="80"/>
      <c r="AD259" s="81"/>
    </row>
    <row r="260" spans="1:30" ht="202.8" x14ac:dyDescent="0.3">
      <c r="A260" s="76"/>
      <c r="B260" s="76"/>
      <c r="C260" s="76"/>
      <c r="D260" s="76" t="s">
        <v>360</v>
      </c>
      <c r="E260" s="76"/>
      <c r="F260" s="76"/>
      <c r="G260" s="76"/>
      <c r="H260" s="77"/>
      <c r="I260" s="76" t="s">
        <v>361</v>
      </c>
      <c r="J260" s="76"/>
      <c r="K260" s="76" t="s">
        <v>1115</v>
      </c>
      <c r="L260" s="76" t="s">
        <v>1368</v>
      </c>
      <c r="M260" s="76"/>
      <c r="N260" s="76" t="s">
        <v>1369</v>
      </c>
      <c r="O260" s="76" t="s">
        <v>934</v>
      </c>
      <c r="P260" s="76" t="s">
        <v>335</v>
      </c>
      <c r="Q260" s="76" t="s">
        <v>426</v>
      </c>
      <c r="R260" s="76" t="s">
        <v>426</v>
      </c>
      <c r="S260" s="78">
        <v>0</v>
      </c>
      <c r="T260" s="76" t="s">
        <v>426</v>
      </c>
      <c r="U260" s="80" t="s">
        <v>1370</v>
      </c>
      <c r="V260" s="76" t="s">
        <v>1015</v>
      </c>
      <c r="W260" s="80" t="s">
        <v>1371</v>
      </c>
      <c r="X260" s="80"/>
      <c r="Y260" s="80"/>
      <c r="Z260" s="80"/>
      <c r="AA260" s="80"/>
      <c r="AB260" s="80"/>
      <c r="AC260" s="80"/>
      <c r="AD260" s="81"/>
    </row>
    <row r="261" spans="1:30" ht="409.6" x14ac:dyDescent="0.3">
      <c r="A261" s="76"/>
      <c r="B261" s="76"/>
      <c r="C261" s="76"/>
      <c r="D261" s="76" t="s">
        <v>360</v>
      </c>
      <c r="E261" s="76"/>
      <c r="F261" s="76"/>
      <c r="G261" s="76"/>
      <c r="H261" s="77"/>
      <c r="I261" s="76" t="s">
        <v>361</v>
      </c>
      <c r="J261" s="76"/>
      <c r="K261" s="76" t="s">
        <v>1115</v>
      </c>
      <c r="L261" s="76" t="s">
        <v>1372</v>
      </c>
      <c r="M261" s="76"/>
      <c r="N261" s="76" t="s">
        <v>1373</v>
      </c>
      <c r="O261" s="76" t="s">
        <v>393</v>
      </c>
      <c r="P261" s="76" t="s">
        <v>952</v>
      </c>
      <c r="Q261" s="76" t="s">
        <v>426</v>
      </c>
      <c r="R261" s="76" t="s">
        <v>426</v>
      </c>
      <c r="S261" s="78">
        <v>0</v>
      </c>
      <c r="T261" s="76"/>
      <c r="U261" s="80" t="s">
        <v>1374</v>
      </c>
      <c r="V261" s="76"/>
      <c r="W261" s="80"/>
      <c r="X261" s="80"/>
      <c r="Y261" s="80"/>
      <c r="Z261" s="80" t="s">
        <v>426</v>
      </c>
      <c r="AA261" s="80"/>
      <c r="AB261" s="80"/>
      <c r="AC261" s="80"/>
      <c r="AD261" s="81"/>
    </row>
    <row r="262" spans="1:30" ht="280.8" x14ac:dyDescent="0.3">
      <c r="A262" s="76"/>
      <c r="B262" s="76"/>
      <c r="C262" s="76"/>
      <c r="D262" s="76"/>
      <c r="E262" s="76"/>
      <c r="F262" s="76"/>
      <c r="G262" s="76" t="s">
        <v>360</v>
      </c>
      <c r="H262" s="77" t="s">
        <v>360</v>
      </c>
      <c r="I262" s="76" t="s">
        <v>361</v>
      </c>
      <c r="J262" s="76"/>
      <c r="K262" s="76" t="s">
        <v>1145</v>
      </c>
      <c r="L262" s="76" t="s">
        <v>1375</v>
      </c>
      <c r="M262" s="76"/>
      <c r="N262" s="76" t="s">
        <v>1376</v>
      </c>
      <c r="O262" s="76"/>
      <c r="P262" s="76"/>
      <c r="Q262" s="76"/>
      <c r="R262" s="79">
        <v>44561</v>
      </c>
      <c r="S262" s="76"/>
      <c r="T262" s="76"/>
      <c r="U262" s="80" t="s">
        <v>1377</v>
      </c>
      <c r="V262" s="76"/>
      <c r="W262" s="80"/>
      <c r="X262" s="80"/>
      <c r="Y262" s="80"/>
      <c r="Z262" s="80"/>
      <c r="AA262" s="80"/>
      <c r="AB262" s="80"/>
      <c r="AC262" s="80"/>
      <c r="AD262" s="81"/>
    </row>
    <row r="263" spans="1:30" ht="93.6" x14ac:dyDescent="0.3">
      <c r="A263" s="76"/>
      <c r="B263" s="76"/>
      <c r="C263" s="76" t="s">
        <v>360</v>
      </c>
      <c r="D263" s="76"/>
      <c r="E263" s="76"/>
      <c r="F263" s="76"/>
      <c r="G263" s="76"/>
      <c r="H263" s="77"/>
      <c r="I263" s="76" t="s">
        <v>361</v>
      </c>
      <c r="J263" s="76"/>
      <c r="K263" s="76" t="s">
        <v>1145</v>
      </c>
      <c r="L263" s="76" t="s">
        <v>1375</v>
      </c>
      <c r="M263" s="76"/>
      <c r="N263" s="76" t="s">
        <v>1378</v>
      </c>
      <c r="O263" s="76" t="s">
        <v>367</v>
      </c>
      <c r="P263" s="76"/>
      <c r="Q263" s="76"/>
      <c r="R263" s="76" t="s">
        <v>1379</v>
      </c>
      <c r="S263" s="76"/>
      <c r="T263" s="76"/>
      <c r="U263" s="80" t="s">
        <v>1380</v>
      </c>
      <c r="V263" s="76"/>
      <c r="W263" s="80"/>
      <c r="X263" s="80"/>
      <c r="Y263" s="80"/>
      <c r="Z263" s="80"/>
      <c r="AA263" s="80"/>
      <c r="AB263" s="80"/>
      <c r="AC263" s="80"/>
      <c r="AD263" s="81"/>
    </row>
    <row r="264" spans="1:30" ht="15.6" x14ac:dyDescent="0.3">
      <c r="A264" s="76"/>
      <c r="B264" s="76"/>
      <c r="C264" s="76"/>
      <c r="D264" s="76" t="s">
        <v>457</v>
      </c>
      <c r="E264" s="76"/>
      <c r="F264" s="76" t="s">
        <v>457</v>
      </c>
      <c r="G264" s="76"/>
      <c r="H264" s="77"/>
      <c r="I264" s="76"/>
      <c r="J264" s="76"/>
      <c r="K264" s="76" t="s">
        <v>413</v>
      </c>
      <c r="L264" s="76" t="s">
        <v>1151</v>
      </c>
      <c r="M264" s="76" t="s">
        <v>1381</v>
      </c>
      <c r="N264" s="76"/>
      <c r="O264" s="76" t="s">
        <v>393</v>
      </c>
      <c r="P264" s="76"/>
      <c r="Q264" s="76" t="s">
        <v>1382</v>
      </c>
      <c r="R264" s="79"/>
      <c r="S264" s="83">
        <v>500000000</v>
      </c>
      <c r="T264" s="84" t="s">
        <v>396</v>
      </c>
      <c r="U264" s="80"/>
      <c r="V264" s="76"/>
      <c r="W264" s="80"/>
      <c r="X264" s="80"/>
      <c r="Y264" s="80"/>
      <c r="Z264" s="80"/>
      <c r="AA264" s="80"/>
      <c r="AB264" s="80"/>
      <c r="AC264" s="80"/>
      <c r="AD264" s="81"/>
    </row>
    <row r="265" spans="1:30" ht="15.6" x14ac:dyDescent="0.3">
      <c r="A265" s="76"/>
      <c r="B265" s="76"/>
      <c r="C265" s="76"/>
      <c r="D265" s="76" t="s">
        <v>457</v>
      </c>
      <c r="E265" s="76"/>
      <c r="F265" s="76" t="s">
        <v>457</v>
      </c>
      <c r="G265" s="76"/>
      <c r="H265" s="77"/>
      <c r="I265" s="76"/>
      <c r="J265" s="76"/>
      <c r="K265" s="76" t="s">
        <v>413</v>
      </c>
      <c r="L265" s="76" t="s">
        <v>1151</v>
      </c>
      <c r="M265" s="76" t="s">
        <v>1381</v>
      </c>
      <c r="N265" s="76"/>
      <c r="O265" s="76" t="s">
        <v>393</v>
      </c>
      <c r="P265" s="76"/>
      <c r="Q265" s="76" t="s">
        <v>1383</v>
      </c>
      <c r="R265" s="79"/>
      <c r="S265" s="83">
        <v>118000000</v>
      </c>
      <c r="T265" s="84" t="s">
        <v>396</v>
      </c>
      <c r="U265" s="80"/>
      <c r="V265" s="76"/>
      <c r="W265" s="80"/>
      <c r="X265" s="80"/>
      <c r="Y265" s="80"/>
      <c r="Z265" s="80"/>
      <c r="AA265" s="80"/>
      <c r="AB265" s="80"/>
      <c r="AC265" s="80"/>
      <c r="AD265" s="81"/>
    </row>
    <row r="266" spans="1:30" ht="15.6" x14ac:dyDescent="0.3">
      <c r="A266" s="76"/>
      <c r="B266" s="76"/>
      <c r="C266" s="76"/>
      <c r="D266" s="76" t="s">
        <v>457</v>
      </c>
      <c r="E266" s="76"/>
      <c r="F266" s="76" t="s">
        <v>457</v>
      </c>
      <c r="G266" s="76"/>
      <c r="H266" s="77"/>
      <c r="I266" s="76"/>
      <c r="J266" s="76"/>
      <c r="K266" s="76" t="s">
        <v>413</v>
      </c>
      <c r="L266" s="76" t="s">
        <v>1151</v>
      </c>
      <c r="M266" s="76" t="s">
        <v>1381</v>
      </c>
      <c r="N266" s="76"/>
      <c r="O266" s="76" t="s">
        <v>393</v>
      </c>
      <c r="P266" s="76"/>
      <c r="Q266" s="76" t="s">
        <v>1384</v>
      </c>
      <c r="R266" s="79"/>
      <c r="S266" s="83">
        <v>300000000</v>
      </c>
      <c r="T266" s="84" t="s">
        <v>396</v>
      </c>
      <c r="U266" s="80"/>
      <c r="V266" s="76"/>
      <c r="W266" s="80"/>
      <c r="X266" s="80"/>
      <c r="Y266" s="80"/>
      <c r="Z266" s="80"/>
      <c r="AA266" s="80"/>
      <c r="AB266" s="80"/>
      <c r="AC266" s="80"/>
      <c r="AD266" s="81"/>
    </row>
    <row r="267" spans="1:30" ht="15.6" x14ac:dyDescent="0.3">
      <c r="A267" s="76"/>
      <c r="B267" s="76"/>
      <c r="C267" s="76"/>
      <c r="D267" s="76" t="s">
        <v>360</v>
      </c>
      <c r="E267" s="76"/>
      <c r="F267" s="76"/>
      <c r="G267" s="76"/>
      <c r="H267" s="77"/>
      <c r="I267" s="76"/>
      <c r="J267" s="76"/>
      <c r="K267" s="76" t="s">
        <v>413</v>
      </c>
      <c r="L267" s="76" t="s">
        <v>449</v>
      </c>
      <c r="M267" s="76" t="s">
        <v>450</v>
      </c>
      <c r="N267" s="76" t="s">
        <v>1385</v>
      </c>
      <c r="O267" s="76" t="s">
        <v>452</v>
      </c>
      <c r="P267" s="76" t="s">
        <v>335</v>
      </c>
      <c r="Q267" s="76"/>
      <c r="R267" s="79"/>
      <c r="S267" s="83">
        <v>160000000</v>
      </c>
      <c r="T267" s="84">
        <v>46295</v>
      </c>
      <c r="U267" s="80" t="s">
        <v>1386</v>
      </c>
      <c r="V267" s="76"/>
      <c r="W267" s="80"/>
      <c r="X267" s="80"/>
      <c r="Y267" s="80"/>
      <c r="Z267" s="80"/>
      <c r="AA267" s="80"/>
      <c r="AB267" s="80"/>
      <c r="AC267" s="80"/>
      <c r="AD267" s="81"/>
    </row>
    <row r="268" spans="1:30" ht="15.6" x14ac:dyDescent="0.3">
      <c r="A268" s="76"/>
      <c r="B268" s="76"/>
      <c r="C268" s="76"/>
      <c r="D268" s="76" t="s">
        <v>360</v>
      </c>
      <c r="E268" s="76"/>
      <c r="F268" s="76"/>
      <c r="G268" s="76"/>
      <c r="H268" s="77"/>
      <c r="I268" s="76"/>
      <c r="J268" s="76"/>
      <c r="K268" s="76" t="s">
        <v>413</v>
      </c>
      <c r="L268" s="76" t="s">
        <v>449</v>
      </c>
      <c r="M268" s="76" t="s">
        <v>450</v>
      </c>
      <c r="N268" s="76" t="s">
        <v>1387</v>
      </c>
      <c r="O268" s="76" t="s">
        <v>452</v>
      </c>
      <c r="P268" s="76" t="s">
        <v>335</v>
      </c>
      <c r="Q268" s="76"/>
      <c r="R268" s="79"/>
      <c r="S268" s="83">
        <v>40000000</v>
      </c>
      <c r="T268" s="84" t="s">
        <v>396</v>
      </c>
      <c r="U268" s="80" t="s">
        <v>1388</v>
      </c>
      <c r="V268" s="76"/>
      <c r="W268" s="80"/>
      <c r="X268" s="80"/>
      <c r="Y268" s="80"/>
      <c r="Z268" s="80"/>
      <c r="AA268" s="80"/>
      <c r="AB268" s="80"/>
      <c r="AC268" s="80"/>
      <c r="AD268" s="81"/>
    </row>
    <row r="269" spans="1:30" ht="46.8" x14ac:dyDescent="0.3">
      <c r="A269" s="76"/>
      <c r="B269" s="76"/>
      <c r="C269" s="76" t="s">
        <v>457</v>
      </c>
      <c r="D269" s="76"/>
      <c r="E269" s="76"/>
      <c r="F269" s="76"/>
      <c r="G269" s="76"/>
      <c r="H269" s="77"/>
      <c r="I269" s="76"/>
      <c r="J269" s="76"/>
      <c r="K269" s="76" t="s">
        <v>413</v>
      </c>
      <c r="L269" s="76" t="s">
        <v>1389</v>
      </c>
      <c r="M269" s="76"/>
      <c r="N269" s="76" t="s">
        <v>1390</v>
      </c>
      <c r="O269" s="76"/>
      <c r="P269" s="80"/>
      <c r="Q269" s="76"/>
      <c r="R269" s="79"/>
      <c r="S269" s="83">
        <v>3000000</v>
      </c>
      <c r="T269" s="84" t="s">
        <v>491</v>
      </c>
      <c r="U269" s="80" t="s">
        <v>1391</v>
      </c>
      <c r="V269" s="76"/>
      <c r="W269" s="80"/>
      <c r="X269" s="80"/>
      <c r="Y269" s="80"/>
      <c r="Z269" s="80"/>
      <c r="AA269" s="80"/>
      <c r="AB269" s="80"/>
      <c r="AC269" s="80"/>
      <c r="AD269" s="81"/>
    </row>
    <row r="270" spans="1:30" ht="62.4" x14ac:dyDescent="0.3">
      <c r="A270" s="76"/>
      <c r="B270" s="76"/>
      <c r="C270" s="76"/>
      <c r="D270" s="76" t="s">
        <v>360</v>
      </c>
      <c r="E270" s="76"/>
      <c r="F270" s="76"/>
      <c r="G270" s="76"/>
      <c r="H270" s="77"/>
      <c r="I270" s="76"/>
      <c r="J270" s="76"/>
      <c r="K270" s="76" t="s">
        <v>413</v>
      </c>
      <c r="L270" s="76" t="s">
        <v>1178</v>
      </c>
      <c r="M270" s="76" t="s">
        <v>1179</v>
      </c>
      <c r="N270" s="76" t="s">
        <v>1180</v>
      </c>
      <c r="O270" s="76" t="s">
        <v>1181</v>
      </c>
      <c r="P270" s="76" t="s">
        <v>335</v>
      </c>
      <c r="Q270" s="76" t="s">
        <v>1392</v>
      </c>
      <c r="R270" s="79"/>
      <c r="S270" s="83">
        <v>1000000000</v>
      </c>
      <c r="T270" s="84" t="s">
        <v>491</v>
      </c>
      <c r="U270" s="80" t="s">
        <v>1393</v>
      </c>
      <c r="V270" s="76"/>
      <c r="W270" s="80"/>
      <c r="X270" s="80"/>
      <c r="Y270" s="80"/>
      <c r="Z270" s="80"/>
      <c r="AA270" s="80"/>
      <c r="AB270" s="80"/>
      <c r="AC270" s="80"/>
      <c r="AD270" s="81"/>
    </row>
    <row r="271" spans="1:30" ht="46.8" x14ac:dyDescent="0.3">
      <c r="A271" s="76"/>
      <c r="B271" s="76"/>
      <c r="C271" s="76"/>
      <c r="D271" s="76" t="s">
        <v>457</v>
      </c>
      <c r="E271" s="76"/>
      <c r="F271" s="76"/>
      <c r="G271" s="76"/>
      <c r="H271" s="77"/>
      <c r="I271" s="76"/>
      <c r="J271" s="76"/>
      <c r="K271" s="76" t="s">
        <v>413</v>
      </c>
      <c r="L271" s="76" t="s">
        <v>1178</v>
      </c>
      <c r="M271" s="76" t="s">
        <v>1179</v>
      </c>
      <c r="N271" s="76" t="s">
        <v>1180</v>
      </c>
      <c r="O271" s="76" t="s">
        <v>1181</v>
      </c>
      <c r="P271" s="76" t="s">
        <v>335</v>
      </c>
      <c r="Q271" s="76"/>
      <c r="R271" s="79"/>
      <c r="S271" s="83">
        <v>500000000</v>
      </c>
      <c r="T271" s="84" t="s">
        <v>491</v>
      </c>
      <c r="U271" s="80" t="s">
        <v>1394</v>
      </c>
      <c r="V271" s="76"/>
      <c r="W271" s="80"/>
      <c r="X271" s="80"/>
      <c r="Y271" s="80"/>
      <c r="Z271" s="82">
        <v>0.03</v>
      </c>
      <c r="AA271" s="80"/>
      <c r="AB271" s="80"/>
      <c r="AC271" s="80"/>
      <c r="AD271" s="81"/>
    </row>
    <row r="272" spans="1:30" ht="78" x14ac:dyDescent="0.3">
      <c r="A272" s="76"/>
      <c r="B272" s="76"/>
      <c r="C272" s="76"/>
      <c r="D272" s="76" t="s">
        <v>457</v>
      </c>
      <c r="E272" s="76"/>
      <c r="F272" s="76"/>
      <c r="G272" s="76"/>
      <c r="H272" s="77"/>
      <c r="I272" s="76"/>
      <c r="J272" s="76"/>
      <c r="K272" s="76" t="s">
        <v>413</v>
      </c>
      <c r="L272" s="76" t="s">
        <v>1178</v>
      </c>
      <c r="M272" s="76" t="s">
        <v>1179</v>
      </c>
      <c r="N272" s="76" t="s">
        <v>1180</v>
      </c>
      <c r="O272" s="76" t="s">
        <v>1181</v>
      </c>
      <c r="P272" s="76" t="s">
        <v>335</v>
      </c>
      <c r="Q272" s="76" t="s">
        <v>1395</v>
      </c>
      <c r="R272" s="79"/>
      <c r="S272" s="83">
        <v>3500000000</v>
      </c>
      <c r="T272" s="84" t="s">
        <v>491</v>
      </c>
      <c r="U272" s="80" t="s">
        <v>1396</v>
      </c>
      <c r="V272" s="76"/>
      <c r="W272" s="80"/>
      <c r="X272" s="80"/>
      <c r="Y272" s="80"/>
      <c r="Z272" s="82"/>
      <c r="AA272" s="80"/>
      <c r="AB272" s="80"/>
      <c r="AC272" s="80"/>
      <c r="AD272" s="81"/>
    </row>
    <row r="273" spans="1:30" ht="62.4" x14ac:dyDescent="0.3">
      <c r="A273" s="76"/>
      <c r="B273" s="76"/>
      <c r="C273" s="76"/>
      <c r="D273" s="76"/>
      <c r="E273" s="76"/>
      <c r="F273" s="76"/>
      <c r="G273" s="76"/>
      <c r="H273" s="77" t="s">
        <v>457</v>
      </c>
      <c r="I273" s="76"/>
      <c r="J273" s="76"/>
      <c r="K273" s="76" t="s">
        <v>413</v>
      </c>
      <c r="L273" s="76" t="s">
        <v>414</v>
      </c>
      <c r="M273" s="76"/>
      <c r="N273" s="76" t="s">
        <v>1191</v>
      </c>
      <c r="O273" s="76"/>
      <c r="P273" s="76" t="s">
        <v>989</v>
      </c>
      <c r="Q273" s="76"/>
      <c r="R273" s="79"/>
      <c r="S273" s="83">
        <v>100000000</v>
      </c>
      <c r="T273" s="84"/>
      <c r="U273" s="80" t="s">
        <v>1397</v>
      </c>
      <c r="V273" s="76"/>
      <c r="W273" s="80"/>
      <c r="X273" s="80"/>
      <c r="Y273" s="80"/>
      <c r="Z273" s="80"/>
      <c r="AA273" s="80"/>
      <c r="AB273" s="80"/>
      <c r="AC273" s="80"/>
      <c r="AD273" s="81"/>
    </row>
    <row r="274" spans="1:30" ht="46.8" x14ac:dyDescent="0.3">
      <c r="A274" s="76"/>
      <c r="B274" s="76"/>
      <c r="C274" s="76"/>
      <c r="D274" s="76"/>
      <c r="E274" s="76"/>
      <c r="F274" s="76" t="s">
        <v>360</v>
      </c>
      <c r="G274" s="76"/>
      <c r="H274" s="77"/>
      <c r="I274" s="76"/>
      <c r="J274" s="76"/>
      <c r="K274" s="76" t="s">
        <v>413</v>
      </c>
      <c r="L274" s="76" t="s">
        <v>414</v>
      </c>
      <c r="M274" s="76"/>
      <c r="N274" s="76" t="s">
        <v>1191</v>
      </c>
      <c r="O274" s="76"/>
      <c r="P274" s="76" t="s">
        <v>337</v>
      </c>
      <c r="Q274" s="76"/>
      <c r="R274" s="79"/>
      <c r="S274" s="83">
        <v>275000000</v>
      </c>
      <c r="T274" s="84"/>
      <c r="U274" s="80" t="s">
        <v>1398</v>
      </c>
      <c r="V274" s="76"/>
      <c r="W274" s="80"/>
      <c r="X274" s="80"/>
      <c r="Y274" s="80"/>
      <c r="Z274" s="80"/>
      <c r="AA274" s="80"/>
      <c r="AB274" s="80"/>
      <c r="AC274" s="80"/>
      <c r="AD274" s="81"/>
    </row>
    <row r="275" spans="1:30" ht="409.6" x14ac:dyDescent="0.3">
      <c r="A275" s="76"/>
      <c r="B275" s="76"/>
      <c r="C275" s="76" t="s">
        <v>360</v>
      </c>
      <c r="D275" s="76"/>
      <c r="E275" s="76"/>
      <c r="F275" s="76"/>
      <c r="G275" s="76"/>
      <c r="H275" s="77"/>
      <c r="I275" s="76"/>
      <c r="J275" s="76"/>
      <c r="K275" s="76" t="s">
        <v>413</v>
      </c>
      <c r="L275" s="76" t="s">
        <v>1201</v>
      </c>
      <c r="M275" s="76"/>
      <c r="N275" s="76"/>
      <c r="O275" s="76" t="s">
        <v>477</v>
      </c>
      <c r="P275" s="76" t="s">
        <v>334</v>
      </c>
      <c r="Q275" s="76" t="s">
        <v>1399</v>
      </c>
      <c r="R275" s="79" t="s">
        <v>388</v>
      </c>
      <c r="S275" s="83">
        <f>SUM(5000000000-300000000)</f>
        <v>4700000000</v>
      </c>
      <c r="T275" s="84" t="s">
        <v>491</v>
      </c>
      <c r="U275" s="80" t="s">
        <v>1400</v>
      </c>
      <c r="V275" s="76" t="s">
        <v>371</v>
      </c>
      <c r="W275" s="80" t="s">
        <v>647</v>
      </c>
      <c r="X275" s="80"/>
      <c r="Y275" s="80"/>
      <c r="Z275" s="80"/>
      <c r="AA275" s="80" t="s">
        <v>374</v>
      </c>
      <c r="AB275" s="82">
        <v>0.8</v>
      </c>
      <c r="AC275" s="80"/>
      <c r="AD275" s="81"/>
    </row>
    <row r="276" spans="1:30" ht="409.6" x14ac:dyDescent="0.3">
      <c r="A276" s="76"/>
      <c r="B276" s="76" t="s">
        <v>360</v>
      </c>
      <c r="C276" s="76" t="s">
        <v>360</v>
      </c>
      <c r="D276" s="76"/>
      <c r="E276" s="76"/>
      <c r="F276" s="76"/>
      <c r="G276" s="76"/>
      <c r="H276" s="77"/>
      <c r="I276" s="76"/>
      <c r="J276" s="76"/>
      <c r="K276" s="76" t="s">
        <v>413</v>
      </c>
      <c r="L276" s="76" t="s">
        <v>1201</v>
      </c>
      <c r="M276" s="76"/>
      <c r="N276" s="76"/>
      <c r="O276" s="76" t="s">
        <v>1401</v>
      </c>
      <c r="P276" s="76" t="s">
        <v>1402</v>
      </c>
      <c r="Q276" s="76" t="s">
        <v>1403</v>
      </c>
      <c r="R276" s="79" t="s">
        <v>388</v>
      </c>
      <c r="S276" s="83">
        <v>300000000</v>
      </c>
      <c r="T276" s="84">
        <v>46295</v>
      </c>
      <c r="U276" s="80" t="s">
        <v>1404</v>
      </c>
      <c r="V276" s="76"/>
      <c r="W276" s="80"/>
      <c r="X276" s="80"/>
      <c r="Y276" s="80"/>
      <c r="Z276" s="80"/>
      <c r="AA276" s="80"/>
      <c r="AB276" s="82"/>
      <c r="AC276" s="80"/>
      <c r="AD276" s="81"/>
    </row>
    <row r="277" spans="1:30" ht="15.6" x14ac:dyDescent="0.3">
      <c r="A277" s="96"/>
      <c r="B277" s="96"/>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6"/>
    </row>
    <row r="278" spans="1:30" ht="15.6" x14ac:dyDescent="0.3">
      <c r="A278" s="96"/>
      <c r="B278" s="96"/>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c r="AA278" s="96"/>
      <c r="AB278" s="96"/>
      <c r="AC278" s="96"/>
      <c r="AD278" s="96"/>
    </row>
    <row r="279" spans="1:30" ht="15.6" x14ac:dyDescent="0.3">
      <c r="A279" s="96"/>
      <c r="B279" s="96"/>
      <c r="C279" s="96"/>
      <c r="D279" s="96"/>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6"/>
    </row>
    <row r="280" spans="1:30" ht="15.6" x14ac:dyDescent="0.3">
      <c r="A280" s="96"/>
      <c r="B280" s="96"/>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row>
    <row r="281" spans="1:30" ht="15.6" x14ac:dyDescent="0.3">
      <c r="A281" s="96"/>
      <c r="B281" s="96"/>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row>
    <row r="282" spans="1:30" ht="15.6" x14ac:dyDescent="0.3">
      <c r="A282" s="96"/>
      <c r="B282" s="96"/>
      <c r="C282" s="96"/>
      <c r="D282" s="96"/>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6"/>
    </row>
    <row r="283" spans="1:30" ht="15.6" x14ac:dyDescent="0.3">
      <c r="A283" s="96"/>
      <c r="B283" s="96"/>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row>
    <row r="284" spans="1:30" ht="15.6" x14ac:dyDescent="0.3">
      <c r="A284" s="96"/>
      <c r="B284" s="96"/>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row>
    <row r="285" spans="1:30" ht="15.6" x14ac:dyDescent="0.3">
      <c r="A285" s="96"/>
      <c r="B285" s="96"/>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6"/>
    </row>
    <row r="286" spans="1:30" ht="15.6" x14ac:dyDescent="0.3">
      <c r="A286" s="96"/>
      <c r="B286" s="96"/>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6"/>
    </row>
    <row r="287" spans="1:30" ht="15.6" x14ac:dyDescent="0.3">
      <c r="A287" s="96"/>
      <c r="B287" s="96"/>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row>
    <row r="288" spans="1:30" ht="15.6" x14ac:dyDescent="0.3">
      <c r="A288" s="96"/>
      <c r="B288" s="96"/>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6"/>
    </row>
    <row r="289" spans="1:30" ht="15.6" x14ac:dyDescent="0.3">
      <c r="A289" s="96"/>
      <c r="B289" s="96"/>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row>
    <row r="290" spans="1:30" ht="15.6" x14ac:dyDescent="0.3">
      <c r="A290" s="96"/>
      <c r="B290" s="96"/>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6"/>
    </row>
    <row r="291" spans="1:30" ht="15.6" x14ac:dyDescent="0.3">
      <c r="A291" s="96"/>
      <c r="B291" s="96"/>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6"/>
    </row>
    <row r="292" spans="1:30" ht="15.6" x14ac:dyDescent="0.3">
      <c r="A292" s="96"/>
      <c r="B292" s="96"/>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c r="AA292" s="96"/>
      <c r="AB292" s="96"/>
      <c r="AC292" s="96"/>
      <c r="AD292" s="96"/>
    </row>
    <row r="293" spans="1:30" ht="15.6" x14ac:dyDescent="0.3">
      <c r="A293" s="96"/>
      <c r="B293" s="96"/>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c r="AA293" s="96"/>
      <c r="AB293" s="96"/>
      <c r="AC293" s="96"/>
      <c r="AD293" s="96"/>
    </row>
    <row r="294" spans="1:30" ht="15.6" x14ac:dyDescent="0.3">
      <c r="A294" s="96"/>
      <c r="B294" s="96"/>
      <c r="C294" s="96"/>
      <c r="D294" s="96"/>
      <c r="E294" s="96"/>
      <c r="F294" s="96"/>
      <c r="G294" s="96"/>
      <c r="H294" s="96"/>
      <c r="I294" s="96"/>
      <c r="J294" s="96"/>
      <c r="K294" s="96"/>
      <c r="L294" s="96"/>
      <c r="M294" s="96"/>
      <c r="N294" s="96"/>
      <c r="O294" s="96"/>
      <c r="P294" s="96"/>
      <c r="Q294" s="96"/>
      <c r="R294" s="96"/>
      <c r="S294" s="96"/>
      <c r="T294" s="96"/>
      <c r="U294" s="96"/>
      <c r="V294" s="96"/>
      <c r="W294" s="96"/>
      <c r="X294" s="96"/>
      <c r="Y294" s="96"/>
      <c r="Z294" s="96"/>
      <c r="AA294" s="96"/>
      <c r="AB294" s="96"/>
      <c r="AC294" s="96"/>
      <c r="AD294" s="96"/>
    </row>
    <row r="295" spans="1:30" ht="15.6" x14ac:dyDescent="0.3">
      <c r="A295" s="96"/>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6"/>
    </row>
    <row r="296" spans="1:30" ht="15.6" x14ac:dyDescent="0.3">
      <c r="A296" s="96"/>
      <c r="B296" s="96"/>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c r="AA296" s="96"/>
      <c r="AB296" s="96"/>
      <c r="AC296" s="96"/>
      <c r="AD296" s="96"/>
    </row>
    <row r="297" spans="1:30" ht="15.6" x14ac:dyDescent="0.3">
      <c r="A297" s="96"/>
      <c r="B297" s="96"/>
      <c r="C297" s="96"/>
      <c r="D297" s="96"/>
      <c r="E297" s="96"/>
      <c r="F297" s="96"/>
      <c r="G297" s="96"/>
      <c r="H297" s="96"/>
      <c r="I297" s="96"/>
      <c r="J297" s="96"/>
      <c r="K297" s="96"/>
      <c r="L297" s="96"/>
      <c r="M297" s="96"/>
      <c r="N297" s="96"/>
      <c r="O297" s="96"/>
      <c r="P297" s="96"/>
      <c r="Q297" s="96"/>
      <c r="R297" s="96"/>
      <c r="S297" s="96"/>
      <c r="T297" s="96"/>
      <c r="U297" s="96"/>
      <c r="V297" s="96"/>
      <c r="W297" s="96"/>
      <c r="X297" s="96"/>
      <c r="Y297" s="96"/>
      <c r="Z297" s="96"/>
      <c r="AA297" s="96"/>
      <c r="AB297" s="96"/>
      <c r="AC297" s="96"/>
      <c r="AD297" s="96"/>
    </row>
    <row r="298" spans="1:30" ht="15.6" x14ac:dyDescent="0.3">
      <c r="A298" s="96"/>
      <c r="B298" s="96"/>
      <c r="C298" s="96"/>
      <c r="D298" s="96"/>
      <c r="E298" s="96"/>
      <c r="F298" s="96"/>
      <c r="G298" s="96"/>
      <c r="H298" s="96"/>
      <c r="I298" s="96"/>
      <c r="J298" s="96"/>
      <c r="K298" s="96"/>
      <c r="L298" s="96"/>
      <c r="M298" s="96"/>
      <c r="N298" s="96"/>
      <c r="O298" s="96"/>
      <c r="P298" s="96"/>
      <c r="Q298" s="96"/>
      <c r="R298" s="96"/>
      <c r="S298" s="96"/>
      <c r="T298" s="96"/>
      <c r="U298" s="96"/>
      <c r="V298" s="96"/>
      <c r="W298" s="96"/>
      <c r="X298" s="96"/>
      <c r="Y298" s="96"/>
      <c r="Z298" s="96"/>
      <c r="AA298" s="96"/>
      <c r="AB298" s="96"/>
      <c r="AC298" s="96"/>
      <c r="AD298" s="96"/>
    </row>
    <row r="299" spans="1:30" ht="15.6" x14ac:dyDescent="0.3">
      <c r="A299" s="96"/>
      <c r="B299" s="96"/>
      <c r="C299" s="96"/>
      <c r="D299" s="96"/>
      <c r="E299" s="96"/>
      <c r="F299" s="96"/>
      <c r="G299" s="96"/>
      <c r="H299" s="96"/>
      <c r="I299" s="96"/>
      <c r="J299" s="96"/>
      <c r="K299" s="96"/>
      <c r="L299" s="96"/>
      <c r="M299" s="96"/>
      <c r="N299" s="96"/>
      <c r="O299" s="96"/>
      <c r="P299" s="96"/>
      <c r="Q299" s="96"/>
      <c r="R299" s="96"/>
      <c r="S299" s="96"/>
      <c r="T299" s="96"/>
      <c r="U299" s="96"/>
      <c r="V299" s="96"/>
      <c r="W299" s="96"/>
      <c r="X299" s="96"/>
      <c r="Y299" s="96"/>
      <c r="Z299" s="96"/>
      <c r="AA299" s="96"/>
      <c r="AB299" s="96"/>
      <c r="AC299" s="96"/>
      <c r="AD299" s="96"/>
    </row>
    <row r="300" spans="1:30" ht="15.6" x14ac:dyDescent="0.3">
      <c r="A300" s="96"/>
      <c r="B300" s="96"/>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c r="AA300" s="96"/>
      <c r="AB300" s="96"/>
      <c r="AC300" s="96"/>
      <c r="AD300" s="96"/>
    </row>
    <row r="301" spans="1:30" ht="15.6" x14ac:dyDescent="0.3">
      <c r="A301" s="96"/>
      <c r="B301" s="96"/>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c r="AA301" s="96"/>
      <c r="AB301" s="96"/>
      <c r="AC301" s="96"/>
      <c r="AD301" s="96"/>
    </row>
    <row r="302" spans="1:30" ht="15.6" x14ac:dyDescent="0.3">
      <c r="A302" s="96"/>
      <c r="B302" s="96"/>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c r="AA302" s="96"/>
      <c r="AB302" s="96"/>
      <c r="AC302" s="96"/>
      <c r="AD302" s="96"/>
    </row>
    <row r="303" spans="1:30" ht="15.6" x14ac:dyDescent="0.3">
      <c r="A303" s="96"/>
      <c r="B303" s="96"/>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c r="AA303" s="96"/>
      <c r="AB303" s="96"/>
      <c r="AC303" s="96"/>
      <c r="AD303" s="96"/>
    </row>
    <row r="304" spans="1:30" ht="15.6" x14ac:dyDescent="0.3">
      <c r="A304" s="96"/>
      <c r="B304" s="96"/>
      <c r="C304" s="96"/>
      <c r="D304" s="96"/>
      <c r="E304" s="96"/>
      <c r="F304" s="96"/>
      <c r="G304" s="96"/>
      <c r="H304" s="96"/>
      <c r="I304" s="96"/>
      <c r="J304" s="96"/>
      <c r="K304" s="96"/>
      <c r="L304" s="96"/>
      <c r="M304" s="96"/>
      <c r="N304" s="96"/>
      <c r="O304" s="96"/>
      <c r="P304" s="96"/>
      <c r="Q304" s="96"/>
      <c r="R304" s="96"/>
      <c r="S304" s="96"/>
      <c r="T304" s="96"/>
      <c r="U304" s="96"/>
      <c r="V304" s="96"/>
      <c r="W304" s="96"/>
      <c r="X304" s="96"/>
      <c r="Y304" s="96"/>
      <c r="Z304" s="96"/>
      <c r="AA304" s="96"/>
      <c r="AB304" s="96"/>
      <c r="AC304" s="96"/>
      <c r="AD304" s="96"/>
    </row>
    <row r="305" spans="1:30" ht="15.6" x14ac:dyDescent="0.3">
      <c r="A305" s="96"/>
      <c r="B305" s="96"/>
      <c r="C305" s="96"/>
      <c r="D305" s="96"/>
      <c r="E305" s="96"/>
      <c r="F305" s="96"/>
      <c r="G305" s="96"/>
      <c r="H305" s="96"/>
      <c r="I305" s="96"/>
      <c r="J305" s="96"/>
      <c r="K305" s="96"/>
      <c r="L305" s="96"/>
      <c r="M305" s="96"/>
      <c r="N305" s="96"/>
      <c r="O305" s="96"/>
      <c r="P305" s="96"/>
      <c r="Q305" s="96"/>
      <c r="R305" s="96"/>
      <c r="S305" s="96"/>
      <c r="T305" s="96"/>
      <c r="U305" s="96"/>
      <c r="V305" s="96"/>
      <c r="W305" s="96"/>
      <c r="X305" s="96"/>
      <c r="Y305" s="96"/>
      <c r="Z305" s="96"/>
      <c r="AA305" s="96"/>
      <c r="AB305" s="96"/>
      <c r="AC305" s="96"/>
      <c r="AD305" s="96"/>
    </row>
    <row r="306" spans="1:30" ht="15.6" x14ac:dyDescent="0.3">
      <c r="A306" s="96"/>
      <c r="B306" s="96"/>
      <c r="C306" s="96"/>
      <c r="D306" s="96"/>
      <c r="E306" s="96"/>
      <c r="F306" s="96"/>
      <c r="G306" s="96"/>
      <c r="H306" s="96"/>
      <c r="I306" s="96"/>
      <c r="J306" s="96"/>
      <c r="K306" s="96"/>
      <c r="L306" s="96"/>
      <c r="M306" s="96"/>
      <c r="N306" s="96"/>
      <c r="O306" s="96"/>
      <c r="P306" s="96"/>
      <c r="Q306" s="96"/>
      <c r="R306" s="96"/>
      <c r="S306" s="96"/>
      <c r="T306" s="96"/>
      <c r="U306" s="96"/>
      <c r="V306" s="96"/>
      <c r="W306" s="96"/>
      <c r="X306" s="96"/>
      <c r="Y306" s="96"/>
      <c r="Z306" s="96"/>
      <c r="AA306" s="96"/>
      <c r="AB306" s="96"/>
      <c r="AC306" s="96"/>
      <c r="AD306" s="96"/>
    </row>
    <row r="307" spans="1:30" ht="15.6" x14ac:dyDescent="0.3">
      <c r="A307" s="96"/>
      <c r="B307" s="96"/>
      <c r="C307" s="96"/>
      <c r="D307" s="96"/>
      <c r="E307" s="96"/>
      <c r="F307" s="96"/>
      <c r="G307" s="96"/>
      <c r="H307" s="96"/>
      <c r="I307" s="96"/>
      <c r="J307" s="96"/>
      <c r="K307" s="96"/>
      <c r="L307" s="96"/>
      <c r="M307" s="96"/>
      <c r="N307" s="96"/>
      <c r="O307" s="96"/>
      <c r="P307" s="96"/>
      <c r="Q307" s="96"/>
      <c r="R307" s="96"/>
      <c r="S307" s="96"/>
      <c r="T307" s="96"/>
      <c r="U307" s="96"/>
      <c r="V307" s="96"/>
      <c r="W307" s="96"/>
      <c r="X307" s="96"/>
      <c r="Y307" s="96"/>
      <c r="Z307" s="96"/>
      <c r="AA307" s="96"/>
      <c r="AB307" s="96"/>
      <c r="AC307" s="96"/>
      <c r="AD307" s="96"/>
    </row>
    <row r="308" spans="1:30" ht="15.6" x14ac:dyDescent="0.3">
      <c r="A308" s="96"/>
      <c r="B308" s="96"/>
      <c r="C308" s="96"/>
      <c r="D308" s="96"/>
      <c r="E308" s="96"/>
      <c r="F308" s="96"/>
      <c r="G308" s="96"/>
      <c r="H308" s="96"/>
      <c r="I308" s="96"/>
      <c r="J308" s="96"/>
      <c r="K308" s="96"/>
      <c r="L308" s="96"/>
      <c r="M308" s="96"/>
      <c r="N308" s="96"/>
      <c r="O308" s="96"/>
      <c r="P308" s="96"/>
      <c r="Q308" s="96"/>
      <c r="R308" s="96"/>
      <c r="S308" s="96"/>
      <c r="T308" s="96"/>
      <c r="U308" s="96"/>
      <c r="V308" s="96"/>
      <c r="W308" s="96"/>
      <c r="X308" s="96"/>
      <c r="Y308" s="96"/>
      <c r="Z308" s="96"/>
      <c r="AA308" s="96"/>
      <c r="AB308" s="96"/>
      <c r="AC308" s="96"/>
      <c r="AD308" s="96"/>
    </row>
    <row r="309" spans="1:30" ht="15.6" x14ac:dyDescent="0.3">
      <c r="A309" s="96"/>
      <c r="B309" s="96"/>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c r="AA309" s="96"/>
      <c r="AB309" s="96"/>
      <c r="AC309" s="96"/>
      <c r="AD309" s="96"/>
    </row>
    <row r="310" spans="1:30" ht="15.6" x14ac:dyDescent="0.3">
      <c r="A310" s="96"/>
      <c r="B310" s="96"/>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c r="AA310" s="96"/>
      <c r="AB310" s="96"/>
      <c r="AC310" s="96"/>
      <c r="AD310" s="96"/>
    </row>
    <row r="311" spans="1:30" ht="15.6" x14ac:dyDescent="0.3">
      <c r="A311" s="96"/>
      <c r="B311" s="96"/>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c r="AA311" s="96"/>
      <c r="AB311" s="96"/>
      <c r="AC311" s="96"/>
      <c r="AD311" s="96"/>
    </row>
    <row r="312" spans="1:30" ht="15.6" x14ac:dyDescent="0.3">
      <c r="A312" s="96"/>
      <c r="B312" s="96"/>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c r="AA312" s="96"/>
      <c r="AB312" s="96"/>
      <c r="AC312" s="96"/>
      <c r="AD312" s="96"/>
    </row>
    <row r="313" spans="1:30" ht="15.6" x14ac:dyDescent="0.3">
      <c r="A313" s="96"/>
      <c r="B313" s="96"/>
      <c r="C313" s="96"/>
      <c r="D313" s="96"/>
      <c r="E313" s="96"/>
      <c r="F313" s="96"/>
      <c r="G313" s="96"/>
      <c r="H313" s="96"/>
      <c r="I313" s="96"/>
      <c r="J313" s="96"/>
      <c r="K313" s="96"/>
      <c r="L313" s="96"/>
      <c r="M313" s="96"/>
      <c r="N313" s="96"/>
      <c r="O313" s="96"/>
      <c r="P313" s="96"/>
      <c r="Q313" s="96"/>
      <c r="R313" s="96"/>
      <c r="S313" s="96"/>
      <c r="T313" s="96"/>
      <c r="U313" s="96"/>
      <c r="V313" s="96"/>
      <c r="W313" s="96"/>
      <c r="X313" s="96"/>
      <c r="Y313" s="96"/>
      <c r="Z313" s="96"/>
      <c r="AA313" s="96"/>
      <c r="AB313" s="96"/>
      <c r="AC313" s="96"/>
      <c r="AD313" s="96"/>
    </row>
    <row r="314" spans="1:30" ht="15.6" x14ac:dyDescent="0.3">
      <c r="A314" s="96"/>
      <c r="B314" s="96"/>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c r="AA314" s="96"/>
      <c r="AB314" s="96"/>
      <c r="AC314" s="96"/>
      <c r="AD314" s="96"/>
    </row>
    <row r="315" spans="1:30" ht="15.6" x14ac:dyDescent="0.3">
      <c r="A315" s="96"/>
      <c r="B315" s="96"/>
      <c r="C315" s="96"/>
      <c r="D315" s="96"/>
      <c r="E315" s="96"/>
      <c r="F315" s="96"/>
      <c r="G315" s="96"/>
      <c r="H315" s="96"/>
      <c r="I315" s="96"/>
      <c r="J315" s="96"/>
      <c r="K315" s="96"/>
      <c r="L315" s="96"/>
      <c r="M315" s="96"/>
      <c r="N315" s="96"/>
      <c r="O315" s="96"/>
      <c r="P315" s="96"/>
      <c r="Q315" s="96"/>
      <c r="R315" s="96"/>
      <c r="S315" s="96"/>
      <c r="T315" s="96"/>
      <c r="U315" s="96"/>
      <c r="V315" s="96"/>
      <c r="W315" s="96"/>
      <c r="X315" s="96"/>
      <c r="Y315" s="96"/>
      <c r="Z315" s="96"/>
      <c r="AA315" s="96"/>
      <c r="AB315" s="96"/>
      <c r="AC315" s="96"/>
      <c r="AD315" s="96"/>
    </row>
    <row r="316" spans="1:30" ht="15.6" x14ac:dyDescent="0.3">
      <c r="A316" s="96"/>
      <c r="B316" s="96"/>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c r="AA316" s="96"/>
      <c r="AB316" s="96"/>
      <c r="AC316" s="96"/>
      <c r="AD316" s="96"/>
    </row>
    <row r="317" spans="1:30" ht="15.6" x14ac:dyDescent="0.3">
      <c r="A317" s="96"/>
      <c r="B317" s="96"/>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c r="AA317" s="96"/>
      <c r="AB317" s="96"/>
      <c r="AC317" s="96"/>
      <c r="AD317" s="96"/>
    </row>
    <row r="318" spans="1:30" ht="15.6" x14ac:dyDescent="0.3">
      <c r="A318" s="96"/>
      <c r="B318" s="96"/>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6"/>
      <c r="AC318" s="96"/>
      <c r="AD318" s="96"/>
    </row>
    <row r="319" spans="1:30" ht="15.6" x14ac:dyDescent="0.3">
      <c r="A319" s="96"/>
      <c r="B319" s="96"/>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c r="AA319" s="96"/>
      <c r="AB319" s="96"/>
      <c r="AC319" s="96"/>
      <c r="AD319" s="96"/>
    </row>
    <row r="320" spans="1:30" ht="15.6" x14ac:dyDescent="0.3">
      <c r="A320" s="96"/>
      <c r="B320" s="96"/>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c r="AA320" s="96"/>
      <c r="AB320" s="96"/>
      <c r="AC320" s="96"/>
      <c r="AD320" s="96"/>
    </row>
    <row r="321" spans="1:30" ht="15.6" x14ac:dyDescent="0.3">
      <c r="A321" s="96"/>
      <c r="B321" s="96"/>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c r="AA321" s="96"/>
      <c r="AB321" s="96"/>
      <c r="AC321" s="96"/>
      <c r="AD321" s="96"/>
    </row>
    <row r="322" spans="1:30" ht="15.6" x14ac:dyDescent="0.3">
      <c r="A322" s="96"/>
      <c r="B322" s="96"/>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6"/>
    </row>
    <row r="323" spans="1:30" ht="15.6" x14ac:dyDescent="0.3">
      <c r="A323" s="96"/>
      <c r="B323" s="96"/>
      <c r="C323" s="96"/>
      <c r="D323" s="96"/>
      <c r="E323" s="96"/>
      <c r="F323" s="96"/>
      <c r="G323" s="96"/>
      <c r="H323" s="96"/>
      <c r="I323" s="96"/>
      <c r="J323" s="96"/>
      <c r="K323" s="96"/>
      <c r="L323" s="96"/>
      <c r="M323" s="96"/>
      <c r="N323" s="96"/>
      <c r="O323" s="96"/>
      <c r="P323" s="96"/>
      <c r="Q323" s="96"/>
      <c r="R323" s="96"/>
      <c r="S323" s="96"/>
      <c r="T323" s="96"/>
      <c r="U323" s="96"/>
      <c r="V323" s="96"/>
      <c r="W323" s="96"/>
      <c r="X323" s="96"/>
      <c r="Y323" s="96"/>
      <c r="Z323" s="96"/>
      <c r="AA323" s="96"/>
      <c r="AB323" s="96"/>
      <c r="AC323" s="96"/>
      <c r="AD323" s="96"/>
    </row>
    <row r="324" spans="1:30" ht="15.6" x14ac:dyDescent="0.3">
      <c r="A324" s="96"/>
      <c r="B324" s="96"/>
      <c r="C324" s="96"/>
      <c r="D324" s="96"/>
      <c r="E324" s="96"/>
      <c r="F324" s="96"/>
      <c r="G324" s="96"/>
      <c r="H324" s="96"/>
      <c r="I324" s="96"/>
      <c r="J324" s="96"/>
      <c r="K324" s="96"/>
      <c r="L324" s="96"/>
      <c r="M324" s="96"/>
      <c r="N324" s="96"/>
      <c r="O324" s="96"/>
      <c r="P324" s="96"/>
      <c r="Q324" s="96"/>
      <c r="R324" s="96"/>
      <c r="S324" s="96"/>
      <c r="T324" s="96"/>
      <c r="U324" s="96"/>
      <c r="V324" s="96"/>
      <c r="W324" s="96"/>
      <c r="X324" s="96"/>
      <c r="Y324" s="96"/>
      <c r="Z324" s="96"/>
      <c r="AA324" s="96"/>
      <c r="AB324" s="96"/>
      <c r="AC324" s="96"/>
      <c r="AD324" s="96"/>
    </row>
    <row r="325" spans="1:30" ht="15.6" x14ac:dyDescent="0.3">
      <c r="A325" s="96"/>
      <c r="B325" s="96"/>
      <c r="C325" s="96"/>
      <c r="D325" s="96"/>
      <c r="E325" s="96"/>
      <c r="F325" s="96"/>
      <c r="G325" s="96"/>
      <c r="H325" s="96"/>
      <c r="I325" s="96"/>
      <c r="J325" s="96"/>
      <c r="K325" s="96"/>
      <c r="L325" s="96"/>
      <c r="M325" s="96"/>
      <c r="N325" s="96"/>
      <c r="O325" s="96"/>
      <c r="P325" s="96"/>
      <c r="Q325" s="96"/>
      <c r="R325" s="96"/>
      <c r="S325" s="96"/>
      <c r="T325" s="96"/>
      <c r="U325" s="96"/>
      <c r="V325" s="96"/>
      <c r="W325" s="96"/>
      <c r="X325" s="96"/>
      <c r="Y325" s="96"/>
      <c r="Z325" s="96"/>
      <c r="AA325" s="96"/>
      <c r="AB325" s="96"/>
      <c r="AC325" s="96"/>
      <c r="AD325" s="96"/>
    </row>
    <row r="326" spans="1:30" ht="15.6" x14ac:dyDescent="0.3">
      <c r="A326" s="96"/>
      <c r="B326" s="96"/>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c r="AA326" s="96"/>
      <c r="AB326" s="96"/>
      <c r="AC326" s="96"/>
      <c r="AD326" s="96"/>
    </row>
    <row r="327" spans="1:30" ht="15.6" x14ac:dyDescent="0.3">
      <c r="A327" s="96"/>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6"/>
    </row>
    <row r="328" spans="1:30" ht="15.6" x14ac:dyDescent="0.3">
      <c r="A328" s="96"/>
      <c r="B328" s="96"/>
      <c r="C328" s="96"/>
      <c r="D328" s="96"/>
      <c r="E328" s="96"/>
      <c r="F328" s="96"/>
      <c r="G328" s="96"/>
      <c r="H328" s="96"/>
      <c r="I328" s="96"/>
      <c r="J328" s="96"/>
      <c r="K328" s="96"/>
      <c r="L328" s="96"/>
      <c r="M328" s="96"/>
      <c r="N328" s="96"/>
      <c r="O328" s="96"/>
      <c r="P328" s="96"/>
      <c r="Q328" s="96"/>
      <c r="R328" s="96"/>
      <c r="S328" s="96"/>
      <c r="T328" s="96"/>
      <c r="U328" s="96"/>
      <c r="V328" s="96"/>
      <c r="W328" s="96"/>
      <c r="X328" s="96"/>
      <c r="Y328" s="96"/>
      <c r="Z328" s="96"/>
      <c r="AA328" s="96"/>
      <c r="AB328" s="96"/>
      <c r="AC328" s="96"/>
      <c r="AD328" s="96"/>
    </row>
    <row r="329" spans="1:30" ht="15.6" x14ac:dyDescent="0.3">
      <c r="A329" s="96"/>
      <c r="B329" s="96"/>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c r="AA329" s="96"/>
      <c r="AB329" s="96"/>
      <c r="AC329" s="96"/>
      <c r="AD329" s="96"/>
    </row>
  </sheetData>
  <mergeCells count="3">
    <mergeCell ref="S1:AA1"/>
    <mergeCell ref="AB1:AJ1"/>
    <mergeCell ref="A1:R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D67139042C1645806B6C51AEA6753D" ma:contentTypeVersion="6" ma:contentTypeDescription="Create a new document." ma:contentTypeScope="" ma:versionID="e23ab560bdfc909a2b5d690f0f7cc1af">
  <xsd:schema xmlns:xsd="http://www.w3.org/2001/XMLSchema" xmlns:xs="http://www.w3.org/2001/XMLSchema" xmlns:p="http://schemas.microsoft.com/office/2006/metadata/properties" xmlns:ns2="5f2ae74e-dea2-4d2a-9161-9de66b7420d8" targetNamespace="http://schemas.microsoft.com/office/2006/metadata/properties" ma:root="true" ma:fieldsID="5f4062cb4a3fd8422771d6c8d9c98e97" ns2:_="">
    <xsd:import namespace="5f2ae74e-dea2-4d2a-9161-9de66b7420d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2ae74e-dea2-4d2a-9161-9de66b7420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09872A-40EC-4531-925C-D7CD4C78CA6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f2ae74e-dea2-4d2a-9161-9de66b7420d8"/>
    <ds:schemaRef ds:uri="http://www.w3.org/XML/1998/namespace"/>
    <ds:schemaRef ds:uri="http://purl.org/dc/dcmitype/"/>
  </ds:schemaRefs>
</ds:datastoreItem>
</file>

<file path=customXml/itemProps2.xml><?xml version="1.0" encoding="utf-8"?>
<ds:datastoreItem xmlns:ds="http://schemas.openxmlformats.org/officeDocument/2006/customXml" ds:itemID="{4ED3E951-63D4-4A73-8565-09DF2C952E67}">
  <ds:schemaRefs>
    <ds:schemaRef ds:uri="http://schemas.microsoft.com/sharepoint/v3/contenttype/forms"/>
  </ds:schemaRefs>
</ds:datastoreItem>
</file>

<file path=customXml/itemProps3.xml><?xml version="1.0" encoding="utf-8"?>
<ds:datastoreItem xmlns:ds="http://schemas.openxmlformats.org/officeDocument/2006/customXml" ds:itemID="{0D8EDF78-FC5F-41FC-A90E-D240CABC0E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2ae74e-dea2-4d2a-9161-9de66b7420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Community Local Grants </vt:lpstr>
      <vt:lpstr>Federal Grants+State Funding</vt:lpstr>
      <vt:lpstr>IIJA</vt:lpstr>
      <vt:lpstr>'Federal Grants+State Funding'!_FilterDatabase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Anukriti</dc:creator>
  <cp:keywords/>
  <dc:description/>
  <cp:lastModifiedBy>Anukriti</cp:lastModifiedBy>
  <cp:revision/>
  <dcterms:created xsi:type="dcterms:W3CDTF">2021-04-21T01:56:25Z</dcterms:created>
  <dcterms:modified xsi:type="dcterms:W3CDTF">2021-12-14T02:18:06Z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0x01010067D67139042C1645806B6C51AEA6753D</vt:lpwstr>
  </property>
</Properties>
</file>